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Y:\COMPRAS 2022\PROCESSOS\013.2022 SENAR PROC MOTORISTA, RECEPCIONISTA E LIMPEZA\"/>
    </mc:Choice>
  </mc:AlternateContent>
  <xr:revisionPtr revIDLastSave="0" documentId="13_ncr:1_{3006352D-B857-4EA9-B0B0-D53A176D286D}" xr6:coauthVersionLast="47" xr6:coauthVersionMax="47" xr10:uidLastSave="{00000000-0000-0000-0000-000000000000}"/>
  <bookViews>
    <workbookView xWindow="28680" yWindow="-900" windowWidth="24240" windowHeight="13020" tabRatio="631" xr2:uid="{00000000-000D-0000-FFFF-FFFF00000000}"/>
  </bookViews>
  <sheets>
    <sheet name="Recepção" sheetId="189" r:id="rId1"/>
    <sheet name="Limpeza" sheetId="188" r:id="rId2"/>
    <sheet name="motorista" sheetId="177" r:id="rId3"/>
    <sheet name="Uniformes" sheetId="198" r:id="rId4"/>
    <sheet name="Resumo de Custos" sheetId="158" r:id="rId5"/>
    <sheet name="Dados - Não mexer" sheetId="178" r:id="rId6"/>
  </sheets>
  <externalReferences>
    <externalReference r:id="rId7"/>
  </externalReferences>
  <definedNames>
    <definedName name="_xlnm.Print_Area" localSheetId="1">Limpeza!#REF!</definedName>
    <definedName name="_xlnm.Print_Area" localSheetId="2">motorista!#REF!</definedName>
    <definedName name="_xlnm.Print_Area" localSheetId="0">Recepção!#REF!</definedName>
    <definedName name="asdf" localSheetId="3">#REF!</definedName>
    <definedName name="asdf">#REF!</definedName>
    <definedName name="asdff" localSheetId="3">#REF!</definedName>
    <definedName name="asdff">#REF!</definedName>
    <definedName name="asdfff" localSheetId="3">#REF!</definedName>
    <definedName name="asdfff">#REF!</definedName>
    <definedName name="ISS" localSheetId="3">#REF!</definedName>
    <definedName name="ISS">#REF!</definedName>
    <definedName name="Lista1">'Dados - Não mexer'!$A$2:$A$4</definedName>
    <definedName name="Serviços" localSheetId="3">'[1]Dados - Não mexer'!$A:$A</definedName>
    <definedName name="Serviços">'Dados - Não mexer'!$A:$A</definedName>
    <definedName name="UniformeMensageiro" localSheetId="3">Uniformes!#REF!</definedName>
    <definedName name="UniformeMensageiro">#REF!</definedName>
    <definedName name="UniformeMensageiros" localSheetId="3">Uniformes!#REF!</definedName>
    <definedName name="UniformeMensageiros">#REF!</definedName>
    <definedName name="UniformeRecepcionista" localSheetId="3">#REF!</definedName>
    <definedName name="UniformeRecepcionis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3" i="177" l="1"/>
  <c r="A64" i="177"/>
  <c r="D64" i="177"/>
  <c r="A65" i="177"/>
  <c r="D65" i="177"/>
  <c r="A66" i="177"/>
  <c r="D66" i="177"/>
  <c r="F14" i="198" l="1"/>
  <c r="G14" i="198" s="1"/>
  <c r="F15" i="198"/>
  <c r="G15" i="198" s="1"/>
  <c r="F16" i="198"/>
  <c r="G16" i="198" s="1"/>
  <c r="F5" i="198"/>
  <c r="A6" i="198"/>
  <c r="A7" i="198" s="1"/>
  <c r="F6" i="198"/>
  <c r="G6" i="198" s="1"/>
  <c r="F7" i="198"/>
  <c r="G7" i="198" s="1"/>
  <c r="F8" i="198"/>
  <c r="G8" i="198" s="1"/>
  <c r="A16" i="198"/>
  <c r="G17" i="198" l="1"/>
  <c r="G5" i="198"/>
  <c r="G9" i="198" s="1"/>
  <c r="F9" i="198"/>
  <c r="F17" i="198"/>
  <c r="D59" i="177" l="1"/>
  <c r="D59" i="188"/>
  <c r="D59" i="189"/>
  <c r="A96" i="189" l="1"/>
  <c r="A95" i="189"/>
  <c r="A94" i="189"/>
  <c r="A93" i="189"/>
  <c r="A92" i="189"/>
  <c r="A91" i="189"/>
  <c r="C80" i="189"/>
  <c r="C74" i="189"/>
  <c r="A68" i="189"/>
  <c r="A66" i="189"/>
  <c r="D65" i="189"/>
  <c r="A65" i="189"/>
  <c r="D64" i="189"/>
  <c r="D66" i="189" s="1"/>
  <c r="A64" i="189"/>
  <c r="A63" i="189"/>
  <c r="C37" i="189"/>
  <c r="C46" i="189" s="1"/>
  <c r="C36" i="189"/>
  <c r="C35" i="189"/>
  <c r="C34" i="189"/>
  <c r="C44" i="189" s="1"/>
  <c r="C31" i="189"/>
  <c r="C30" i="189"/>
  <c r="C38" i="189" s="1"/>
  <c r="C29" i="189"/>
  <c r="C28" i="189"/>
  <c r="C45" i="189" s="1"/>
  <c r="C27" i="189"/>
  <c r="C26" i="189"/>
  <c r="C25" i="189"/>
  <c r="C24" i="189"/>
  <c r="C21" i="189"/>
  <c r="C22" i="189" s="1"/>
  <c r="A5" i="189"/>
  <c r="A96" i="188"/>
  <c r="A95" i="188"/>
  <c r="A94" i="188"/>
  <c r="A93" i="188"/>
  <c r="A92" i="188"/>
  <c r="A91" i="188"/>
  <c r="C80" i="188"/>
  <c r="C74" i="188"/>
  <c r="A68" i="188"/>
  <c r="D66" i="188"/>
  <c r="A66" i="188"/>
  <c r="D65" i="188"/>
  <c r="A65" i="188"/>
  <c r="D64" i="188"/>
  <c r="A64" i="188"/>
  <c r="A63" i="188"/>
  <c r="C37" i="188"/>
  <c r="C46" i="188" s="1"/>
  <c r="C36" i="188"/>
  <c r="C35" i="188"/>
  <c r="C34" i="188"/>
  <c r="C44" i="188" s="1"/>
  <c r="C31" i="188"/>
  <c r="C30" i="188"/>
  <c r="C38" i="188" s="1"/>
  <c r="C29" i="188"/>
  <c r="C28" i="188"/>
  <c r="C45" i="188" s="1"/>
  <c r="C27" i="188"/>
  <c r="C26" i="188"/>
  <c r="C25" i="188"/>
  <c r="C24" i="188"/>
  <c r="C21" i="188"/>
  <c r="C22" i="188" s="1"/>
  <c r="A5" i="188"/>
  <c r="C21" i="177"/>
  <c r="C22" i="177" s="1"/>
  <c r="A96" i="177"/>
  <c r="A95" i="177"/>
  <c r="A94" i="177"/>
  <c r="A93" i="177"/>
  <c r="A92" i="177"/>
  <c r="A91" i="177"/>
  <c r="C80" i="177"/>
  <c r="C74" i="177"/>
  <c r="C37" i="177"/>
  <c r="C46" i="177" s="1"/>
  <c r="C36" i="177"/>
  <c r="C35" i="177"/>
  <c r="C34" i="177"/>
  <c r="C44" i="177" s="1"/>
  <c r="C31" i="177"/>
  <c r="C30" i="177"/>
  <c r="C38" i="177" s="1"/>
  <c r="C29" i="177"/>
  <c r="C28" i="177"/>
  <c r="C45" i="177" s="1"/>
  <c r="C27" i="177"/>
  <c r="C26" i="177"/>
  <c r="C25" i="177"/>
  <c r="C24" i="177"/>
  <c r="B17" i="158"/>
  <c r="B19" i="158"/>
  <c r="B22" i="158" s="1"/>
  <c r="A68" i="177"/>
  <c r="A5" i="177"/>
  <c r="C32" i="177" l="1"/>
  <c r="C92" i="177" s="1"/>
  <c r="D8" i="188"/>
  <c r="D17" i="188" s="1"/>
  <c r="C47" i="188"/>
  <c r="C95" i="188" s="1"/>
  <c r="C32" i="188"/>
  <c r="C92" i="188" s="1"/>
  <c r="C32" i="189"/>
  <c r="C92" i="189" s="1"/>
  <c r="D8" i="189"/>
  <c r="D21" i="189" s="1"/>
  <c r="C39" i="189"/>
  <c r="C93" i="189" s="1"/>
  <c r="C47" i="189"/>
  <c r="C95" i="189" s="1"/>
  <c r="C49" i="189"/>
  <c r="C50" i="189" s="1"/>
  <c r="C91" i="189"/>
  <c r="C49" i="188"/>
  <c r="C50" i="188" s="1"/>
  <c r="C91" i="188"/>
  <c r="C39" i="188"/>
  <c r="C93" i="188" s="1"/>
  <c r="D61" i="177"/>
  <c r="C91" i="177"/>
  <c r="C49" i="177"/>
  <c r="C50" i="177" s="1"/>
  <c r="C47" i="177"/>
  <c r="C95" i="177" s="1"/>
  <c r="D12" i="158"/>
  <c r="D8" i="177"/>
  <c r="D10" i="177" s="1"/>
  <c r="C39" i="177"/>
  <c r="C93" i="177" s="1"/>
  <c r="C41" i="188" l="1"/>
  <c r="C42" i="188" s="1"/>
  <c r="C94" i="188" s="1"/>
  <c r="C41" i="177"/>
  <c r="C42" i="177" s="1"/>
  <c r="C94" i="177" s="1"/>
  <c r="D18" i="188"/>
  <c r="D46" i="188"/>
  <c r="D10" i="188"/>
  <c r="D26" i="188" s="1"/>
  <c r="D14" i="188"/>
  <c r="D21" i="188"/>
  <c r="D44" i="188"/>
  <c r="D16" i="188"/>
  <c r="D45" i="188"/>
  <c r="D19" i="188"/>
  <c r="D15" i="188"/>
  <c r="D20" i="188"/>
  <c r="D49" i="188"/>
  <c r="D50" i="188" s="1"/>
  <c r="C41" i="189"/>
  <c r="C42" i="189" s="1"/>
  <c r="C94" i="189" s="1"/>
  <c r="D19" i="189"/>
  <c r="D20" i="189"/>
  <c r="D44" i="189"/>
  <c r="D14" i="189"/>
  <c r="D17" i="189"/>
  <c r="D18" i="189"/>
  <c r="D46" i="189"/>
  <c r="D15" i="189"/>
  <c r="D10" i="189"/>
  <c r="D30" i="189" s="1"/>
  <c r="D16" i="189"/>
  <c r="D45" i="189"/>
  <c r="D49" i="189"/>
  <c r="D50" i="189" s="1"/>
  <c r="D61" i="188"/>
  <c r="D61" i="189"/>
  <c r="C96" i="189"/>
  <c r="C96" i="188"/>
  <c r="D17" i="177"/>
  <c r="C96" i="177"/>
  <c r="D18" i="177"/>
  <c r="D11" i="158"/>
  <c r="D16" i="177"/>
  <c r="D20" i="177"/>
  <c r="D44" i="177"/>
  <c r="D46" i="177"/>
  <c r="D21" i="177"/>
  <c r="D19" i="177"/>
  <c r="D49" i="177"/>
  <c r="D50" i="177" s="1"/>
  <c r="D45" i="177"/>
  <c r="D14" i="177"/>
  <c r="D15" i="177"/>
  <c r="D38" i="177"/>
  <c r="D35" i="177"/>
  <c r="D29" i="177"/>
  <c r="D25" i="177"/>
  <c r="D37" i="177"/>
  <c r="D34" i="177"/>
  <c r="D28" i="177"/>
  <c r="D24" i="177"/>
  <c r="D31" i="177"/>
  <c r="D27" i="177"/>
  <c r="D36" i="177"/>
  <c r="D30" i="177"/>
  <c r="D26" i="177"/>
  <c r="D41" i="177" l="1"/>
  <c r="D42" i="177" s="1"/>
  <c r="C51" i="189"/>
  <c r="C51" i="188"/>
  <c r="C97" i="177"/>
  <c r="C97" i="188"/>
  <c r="C51" i="177"/>
  <c r="D47" i="188"/>
  <c r="D28" i="188"/>
  <c r="D35" i="188"/>
  <c r="D22" i="188"/>
  <c r="D41" i="188"/>
  <c r="D42" i="188" s="1"/>
  <c r="D38" i="188"/>
  <c r="D25" i="188"/>
  <c r="D30" i="188"/>
  <c r="D27" i="188"/>
  <c r="D29" i="188"/>
  <c r="D31" i="188"/>
  <c r="D34" i="188"/>
  <c r="D36" i="188"/>
  <c r="D37" i="188"/>
  <c r="D24" i="188"/>
  <c r="C97" i="189"/>
  <c r="D35" i="189"/>
  <c r="D36" i="189"/>
  <c r="D38" i="189"/>
  <c r="D31" i="189"/>
  <c r="D39" i="177"/>
  <c r="D47" i="177"/>
  <c r="D22" i="177"/>
  <c r="D22" i="189"/>
  <c r="D47" i="189"/>
  <c r="D27" i="189"/>
  <c r="D29" i="189"/>
  <c r="D24" i="189"/>
  <c r="D34" i="189"/>
  <c r="D25" i="189"/>
  <c r="D28" i="189"/>
  <c r="D37" i="189"/>
  <c r="D26" i="189"/>
  <c r="D41" i="189"/>
  <c r="D42" i="189" s="1"/>
  <c r="D13" i="158"/>
  <c r="C13" i="158"/>
  <c r="C15" i="158" s="1"/>
  <c r="D32" i="177"/>
  <c r="D32" i="188" l="1"/>
  <c r="D39" i="188"/>
  <c r="D51" i="177"/>
  <c r="D53" i="177" s="1"/>
  <c r="D68" i="177" s="1"/>
  <c r="D73" i="177" s="1"/>
  <c r="D32" i="189"/>
  <c r="D39" i="189"/>
  <c r="C16" i="158"/>
  <c r="D16" i="158" s="1"/>
  <c r="D51" i="188" l="1"/>
  <c r="D53" i="188" s="1"/>
  <c r="D68" i="188" s="1"/>
  <c r="D73" i="188" s="1"/>
  <c r="D51" i="189"/>
  <c r="D53" i="189" s="1"/>
  <c r="D68" i="189" s="1"/>
  <c r="D72" i="189" s="1"/>
  <c r="D72" i="177"/>
  <c r="D74" i="177" s="1"/>
  <c r="C17" i="158"/>
  <c r="D15" i="158"/>
  <c r="D17" i="158" s="1"/>
  <c r="D72" i="188" l="1"/>
  <c r="D74" i="188" s="1"/>
  <c r="D77" i="188" s="1"/>
  <c r="D73" i="189"/>
  <c r="D74" i="189" s="1"/>
  <c r="C21" i="158"/>
  <c r="D21" i="158" s="1"/>
  <c r="C20" i="158"/>
  <c r="D20" i="158" s="1"/>
  <c r="C19" i="158"/>
  <c r="D77" i="177"/>
  <c r="D78" i="177"/>
  <c r="D79" i="177"/>
  <c r="D79" i="188" l="1"/>
  <c r="D78" i="188"/>
  <c r="D80" i="188" s="1"/>
  <c r="D82" i="188" s="1"/>
  <c r="D77" i="189"/>
  <c r="D79" i="189"/>
  <c r="D78" i="189"/>
  <c r="D19" i="158"/>
  <c r="C22" i="158"/>
  <c r="D80" i="177"/>
  <c r="D82" i="177" s="1"/>
  <c r="D84" i="177" l="1"/>
  <c r="D84" i="188"/>
  <c r="D85" i="188" s="1"/>
  <c r="G4" i="158"/>
  <c r="H4" i="158" s="1"/>
  <c r="D80" i="189"/>
  <c r="D82" i="189" s="1"/>
  <c r="D22" i="158"/>
  <c r="C23" i="158"/>
  <c r="D85" i="177" l="1"/>
  <c r="G5" i="158"/>
  <c r="H5" i="158" s="1"/>
  <c r="D84" i="189"/>
  <c r="D85" i="189" s="1"/>
  <c r="G6" i="158"/>
  <c r="H6" i="158" s="1"/>
  <c r="D23" i="158"/>
  <c r="H7" i="158" l="1"/>
  <c r="D27" i="158" s="1"/>
  <c r="D28" i="158" s="1"/>
  <c r="G7" i="158"/>
  <c r="C27" i="158" s="1"/>
  <c r="C28" i="15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thiagoaz</author>
    <author>Sarah Lopes Dos Anjos</author>
  </authors>
  <commentList>
    <comment ref="B5" authorId="0" shapeId="0" xr:uid="{8AF3D4C7-5B23-425D-AED5-486996A9A407}">
      <text>
        <r>
          <rPr>
            <sz val="9"/>
            <color indexed="81"/>
            <rFont val="Segoe UI"/>
            <family val="2"/>
          </rPr>
          <t>Pesquisar normativo do Estado que fixa o salário mínimo, se for superior ao mínimo nacional.</t>
        </r>
      </text>
    </comment>
    <comment ref="D7" authorId="0" shapeId="0" xr:uid="{3C243182-BDFF-4FC1-AD42-87E79F1FBC01}">
      <text>
        <r>
          <rPr>
            <sz val="9"/>
            <color indexed="81"/>
            <rFont val="Segoe UI"/>
            <family val="2"/>
          </rPr>
          <t>Fonte: Convenção Coletiva de Trabalho</t>
        </r>
      </text>
    </comment>
    <comment ref="F21" authorId="1" shapeId="0" xr:uid="{5C9B4138-1B25-4DCE-80D3-FF149DBB919A}">
      <text>
        <r>
          <rPr>
            <b/>
            <sz val="9"/>
            <color indexed="81"/>
            <rFont val="Segoe UI"/>
            <family val="2"/>
          </rPr>
          <t>Sarah Lopes Dos Anjos:</t>
        </r>
        <r>
          <rPr>
            <sz val="9"/>
            <color indexed="81"/>
            <rFont val="Segoe UI"/>
            <family val="2"/>
          </rPr>
          <t xml:space="preserve">
decidir valor do FAP.
"Já o FAP (Fator Acidentário de Prevenção) mede o desempenho da empresa, trata-se de um multiplicador variável entre 0,5 e 2,0 relativamente aos acidentes de trabalho ocorridos em determinado período. "</t>
        </r>
      </text>
    </comment>
    <comment ref="C30" authorId="1" shapeId="0" xr:uid="{7A1934BF-2CA8-4DDB-A6CF-F393F5DE4C0C}">
      <text>
        <r>
          <rPr>
            <b/>
            <sz val="9"/>
            <color indexed="81"/>
            <rFont val="Segoe UI"/>
            <family val="2"/>
          </rPr>
          <t>Sarah Lopes Dos Anjos:</t>
        </r>
        <r>
          <rPr>
            <sz val="9"/>
            <color indexed="81"/>
            <rFont val="Segoe UI"/>
            <family val="2"/>
          </rPr>
          <t xml:space="preserve">
Decidir se vai usar 8,33%(só férias) ou 11,11%(com 1/3)</t>
        </r>
      </text>
    </comment>
    <comment ref="D56" authorId="0" shapeId="0" xr:uid="{86C51C85-CD09-4464-9785-096CAA19D497}">
      <text>
        <r>
          <rPr>
            <sz val="9"/>
            <color indexed="81"/>
            <rFont val="Segoe UI"/>
            <family val="2"/>
          </rPr>
          <t xml:space="preserve">Pesquisar na CCT (lembrar de verificar se há algum desconto)
</t>
        </r>
      </text>
    </comment>
    <comment ref="D57" authorId="0" shapeId="0" xr:uid="{1EB275F1-FA06-4A3A-9059-B5BD20204250}">
      <text>
        <r>
          <rPr>
            <sz val="9"/>
            <color indexed="81"/>
            <rFont val="Segoe UI"/>
            <family val="2"/>
          </rPr>
          <t xml:space="preserve">Pesquisar na CCT (lembrar de verificar se há algum desconto)
</t>
        </r>
      </text>
    </comment>
    <comment ref="D58" authorId="0" shapeId="0" xr:uid="{37428C49-4262-40E9-8D97-BF12C05140AB}">
      <text>
        <r>
          <rPr>
            <sz val="9"/>
            <color indexed="81"/>
            <rFont val="Segoe UI"/>
            <family val="2"/>
          </rPr>
          <t xml:space="preserve">Pesquisar o valor da passagem de ônibus em normativo do município ou sites especializados; multiplicar pela quantidade de trajetos (ida e volta).
</t>
        </r>
      </text>
    </comment>
    <comment ref="D59" authorId="0" shapeId="0" xr:uid="{272630A1-E9A7-4A2D-B593-D592CE5034B1}">
      <text>
        <r>
          <rPr>
            <sz val="9"/>
            <color indexed="81"/>
            <rFont val="Segoe UI"/>
            <family val="2"/>
          </rPr>
          <t>Lembrar que o desconto não pode ser maior do que o "Vale-Transporte"</t>
        </r>
      </text>
    </comment>
    <comment ref="A77" authorId="0" shapeId="0" xr:uid="{296F7D51-FE69-4BC1-9467-84C60F3BFC2E}">
      <text>
        <r>
          <rPr>
            <sz val="9"/>
            <color indexed="81"/>
            <rFont val="Segoe UI"/>
            <family val="2"/>
          </rPr>
          <t>Verificar a alíquota específica no município da contratação.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thiagoaz</author>
    <author>Sarah Lopes Dos Anjos</author>
  </authors>
  <commentList>
    <comment ref="B5" authorId="0" shapeId="0" xr:uid="{A56FF958-7A63-41FA-928B-FB31093A4411}">
      <text>
        <r>
          <rPr>
            <sz val="9"/>
            <color indexed="81"/>
            <rFont val="Segoe UI"/>
            <family val="2"/>
          </rPr>
          <t>Pesquisar normativo do Estado que fixa o salário mínimo, se for superior ao mínimo nacional.</t>
        </r>
      </text>
    </comment>
    <comment ref="D7" authorId="0" shapeId="0" xr:uid="{8B32203F-A57C-47F1-BF88-0AC25596FFBB}">
      <text>
        <r>
          <rPr>
            <sz val="9"/>
            <color indexed="81"/>
            <rFont val="Segoe UI"/>
            <family val="2"/>
          </rPr>
          <t>Fonte: Convenção Coletiva de Trabalho</t>
        </r>
      </text>
    </comment>
    <comment ref="F21" authorId="1" shapeId="0" xr:uid="{477CE4F7-4AFC-4F76-889D-67903B1FE3DD}">
      <text>
        <r>
          <rPr>
            <b/>
            <sz val="9"/>
            <color indexed="81"/>
            <rFont val="Segoe UI"/>
            <family val="2"/>
          </rPr>
          <t>Sarah Lopes Dos Anjos:</t>
        </r>
        <r>
          <rPr>
            <sz val="9"/>
            <color indexed="81"/>
            <rFont val="Segoe UI"/>
            <family val="2"/>
          </rPr>
          <t xml:space="preserve">
decidir valor do FAP.
"Já o FAP (Fator Acidentário de Prevenção) mede o desempenho da empresa, trata-se de um multiplicador variável entre 0,5 e 2,0 relativamente aos acidentes de trabalho ocorridos em determinado período. "</t>
        </r>
      </text>
    </comment>
    <comment ref="C30" authorId="1" shapeId="0" xr:uid="{2FC3120A-1B64-46AB-B364-CD2B913E941C}">
      <text>
        <r>
          <rPr>
            <b/>
            <sz val="9"/>
            <color indexed="81"/>
            <rFont val="Segoe UI"/>
            <family val="2"/>
          </rPr>
          <t>Sarah Lopes Dos Anjos:</t>
        </r>
        <r>
          <rPr>
            <sz val="9"/>
            <color indexed="81"/>
            <rFont val="Segoe UI"/>
            <family val="2"/>
          </rPr>
          <t xml:space="preserve">
Decidir se vai usar 8,33%(só férias) ou 11,11%(com 1/3)</t>
        </r>
      </text>
    </comment>
    <comment ref="D56" authorId="0" shapeId="0" xr:uid="{19FD1C2A-8CC5-4E9B-A532-85C53CCA14E0}">
      <text>
        <r>
          <rPr>
            <sz val="9"/>
            <color indexed="81"/>
            <rFont val="Segoe UI"/>
            <family val="2"/>
          </rPr>
          <t>Total da Planilha "Uniformes" referente ao serviço respectivo.</t>
        </r>
      </text>
    </comment>
    <comment ref="D57" authorId="0" shapeId="0" xr:uid="{5378A27B-869F-48B6-BD34-68E0A344B845}">
      <text>
        <r>
          <rPr>
            <sz val="9"/>
            <color indexed="81"/>
            <rFont val="Segoe UI"/>
            <family val="2"/>
          </rPr>
          <t xml:space="preserve">Pesquisar na CCT (lembrar de verificar se há algum desconto)
</t>
        </r>
      </text>
    </comment>
    <comment ref="D58" authorId="0" shapeId="0" xr:uid="{CD42894D-8618-4FF2-96E1-4674ED95D309}">
      <text>
        <r>
          <rPr>
            <sz val="9"/>
            <color indexed="81"/>
            <rFont val="Segoe UI"/>
            <family val="2"/>
          </rPr>
          <t xml:space="preserve">Pesquisar o valor da passagem de ônibus em normativo do município ou sites especializados; multiplicar pela quantidade de trajetos (ida e volta).
</t>
        </r>
      </text>
    </comment>
    <comment ref="D59" authorId="0" shapeId="0" xr:uid="{77E05529-7F1F-4268-9DA6-9FA9FBD186EB}">
      <text>
        <r>
          <rPr>
            <sz val="9"/>
            <color indexed="81"/>
            <rFont val="Segoe UI"/>
            <family val="2"/>
          </rPr>
          <t>Lembrar que o desconto não pode ser maior do que o "Vale-Transporte"</t>
        </r>
      </text>
    </comment>
    <comment ref="A77" authorId="0" shapeId="0" xr:uid="{E66BF6F2-864C-4518-AA41-2431D348BD59}">
      <text>
        <r>
          <rPr>
            <sz val="9"/>
            <color indexed="81"/>
            <rFont val="Segoe UI"/>
            <family val="2"/>
          </rPr>
          <t>Verificar a alíquota específica no município da contratação.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thiagoaz</author>
    <author>Sarah Lopes Dos Anjos</author>
  </authors>
  <commentList>
    <comment ref="B5" authorId="0" shapeId="0" xr:uid="{C49461B0-06AF-4E34-98E3-EB86452773C3}">
      <text>
        <r>
          <rPr>
            <sz val="9"/>
            <color indexed="81"/>
            <rFont val="Segoe UI"/>
            <family val="2"/>
          </rPr>
          <t>Pesquisar normativo do Estado que fixa o salário mínimo, se for superior ao mínimo nacional.</t>
        </r>
      </text>
    </comment>
    <comment ref="D7" authorId="0" shapeId="0" xr:uid="{EDA8CD7D-7FF2-40AC-B7FC-AFA6180E9BEC}">
      <text>
        <r>
          <rPr>
            <sz val="9"/>
            <color indexed="81"/>
            <rFont val="Segoe UI"/>
            <family val="2"/>
          </rPr>
          <t>Pesquisar normativo do Estado que fixa o salário mínimo, se for superior ao mínimo nacional.</t>
        </r>
      </text>
    </comment>
    <comment ref="F21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Sarah Lopes Dos Anjos:</t>
        </r>
        <r>
          <rPr>
            <sz val="9"/>
            <color indexed="81"/>
            <rFont val="Segoe UI"/>
            <family val="2"/>
          </rPr>
          <t xml:space="preserve">
decidir valor do FAP.
"Já o FAP (Fator Acidentário de Prevenção) mede o desempenho da empresa, trata-se de um multiplicador variável entre 0,5 e 2,0 relativamente aos acidentes de trabalho ocorridos em determinado período. "</t>
        </r>
      </text>
    </comment>
    <comment ref="C30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Sarah Lopes Dos Anjos:</t>
        </r>
        <r>
          <rPr>
            <sz val="9"/>
            <color indexed="81"/>
            <rFont val="Segoe UI"/>
            <family val="2"/>
          </rPr>
          <t xml:space="preserve">
Decidir se vai usar 8,33%(só férias) ou 11,11%(com 1/3)</t>
        </r>
      </text>
    </comment>
    <comment ref="D56" authorId="0" shapeId="0" xr:uid="{08EB5B07-1D42-4D77-8160-6E7016DAB7EF}">
      <text>
        <r>
          <rPr>
            <sz val="9"/>
            <color indexed="81"/>
            <rFont val="Segoe UI"/>
            <family val="2"/>
          </rPr>
          <t>Total da Planilha "Uniformes" referente ao serviço respectivo.</t>
        </r>
      </text>
    </comment>
    <comment ref="D57" authorId="0" shapeId="0" xr:uid="{7A95BC81-43F2-47FD-93B5-8E5FC127F64A}">
      <text>
        <r>
          <rPr>
            <sz val="9"/>
            <color indexed="81"/>
            <rFont val="Segoe UI"/>
            <family val="2"/>
          </rPr>
          <t xml:space="preserve">Pesquisar na CCT (lembrar de verificar se há algum desconto)
</t>
        </r>
      </text>
    </comment>
    <comment ref="D58" authorId="0" shapeId="0" xr:uid="{CC06C54B-39FC-4368-B4B6-98CFE74F3D96}">
      <text>
        <r>
          <rPr>
            <sz val="9"/>
            <color indexed="81"/>
            <rFont val="Segoe UI"/>
            <family val="2"/>
          </rPr>
          <t xml:space="preserve">Pesquisar o valor da passagem de ônibus em normativo do município ou sites especializados; multiplicar pela quantidade de trajetos (ida e volta).
</t>
        </r>
      </text>
    </comment>
    <comment ref="D59" authorId="0" shapeId="0" xr:uid="{800CCAEF-92B9-4F32-964D-CD1C2D4990DA}">
      <text>
        <r>
          <rPr>
            <sz val="9"/>
            <color indexed="81"/>
            <rFont val="Segoe UI"/>
            <family val="2"/>
          </rPr>
          <t>Lembrar que o desconto não pode ser maior do que o "Vale-Transporte"</t>
        </r>
      </text>
    </comment>
    <comment ref="A77" authorId="0" shapeId="0" xr:uid="{00000000-0006-0000-0000-00000E000000}">
      <text>
        <r>
          <rPr>
            <sz val="9"/>
            <color indexed="81"/>
            <rFont val="Segoe UI"/>
            <family val="2"/>
          </rPr>
          <t>Verificar a alíquota específica no município da contratação.</t>
        </r>
      </text>
    </comment>
  </commentList>
</comments>
</file>

<file path=xl/sharedStrings.xml><?xml version="1.0" encoding="utf-8"?>
<sst xmlns="http://schemas.openxmlformats.org/spreadsheetml/2006/main" count="324" uniqueCount="136">
  <si>
    <t>PLANILHA DE CUSTOS E FORMAÇÃO DE PREÇOS</t>
  </si>
  <si>
    <t>Recepção</t>
  </si>
  <si>
    <t>Jornada</t>
  </si>
  <si>
    <t>Turno</t>
  </si>
  <si>
    <t>Diurno</t>
  </si>
  <si>
    <t>I - COMPOSIÇÃO DA REMUNERAÇÃO (R$)</t>
  </si>
  <si>
    <t>Salário base</t>
  </si>
  <si>
    <t>SUB-TOTAL DA REMUNERAÇÃO (R$)</t>
  </si>
  <si>
    <t>TOTAL DA REMUNERAÇÃO (R$)</t>
  </si>
  <si>
    <t>II - ENCARGOS SOCIAIS INCIDENTES SOBRE A REMUNERAÇÃO (R$)</t>
  </si>
  <si>
    <t>GRUPO A - ENCARGOS</t>
  </si>
  <si>
    <t>A.01 SEGURIDADE SOCIAL</t>
  </si>
  <si>
    <t>A.02 FGTS</t>
  </si>
  <si>
    <t>A.03 SESI/SESC</t>
  </si>
  <si>
    <t>A.04 SENAI/SENAC</t>
  </si>
  <si>
    <t>A.05 INCRA</t>
  </si>
  <si>
    <t>A.06 SEBRAE</t>
  </si>
  <si>
    <t>A.07 Salário Educação</t>
  </si>
  <si>
    <t>A.08 Riscos Ambientais do Trabalho – RAT x FAP</t>
  </si>
  <si>
    <t>FAP =</t>
  </si>
  <si>
    <t>TOTAL - GRUPO A - ENCARGOS</t>
  </si>
  <si>
    <t>GRUPO B</t>
  </si>
  <si>
    <t>B.01 13º Salário</t>
  </si>
  <si>
    <t>B.02 Férias (sem o abono de 1/3)</t>
  </si>
  <si>
    <t>B.03 Aviso Prévio Trabalhado</t>
  </si>
  <si>
    <t>B.04 Auxílio Doença</t>
  </si>
  <si>
    <t>B.05 Acidente de Trabalho</t>
  </si>
  <si>
    <t>B.06 Faltas Legais</t>
  </si>
  <si>
    <t>B.07 Férias sobre Licença Maternidade</t>
  </si>
  <si>
    <t>B.08 Licença Paternidade</t>
  </si>
  <si>
    <t>TOTAL - GRUPO B</t>
  </si>
  <si>
    <t>GRUPO C</t>
  </si>
  <si>
    <t>C.01 Aviso Prévio Indenizado</t>
  </si>
  <si>
    <t>C.02 Indenização Adicional</t>
  </si>
  <si>
    <t>C.03 Indenização (rescisão sem justa causa – multa de 40% do FGTS)</t>
  </si>
  <si>
    <t xml:space="preserve">TOTAL - GRUPO C </t>
  </si>
  <si>
    <t>GRUPO D</t>
  </si>
  <si>
    <t>D.01 Incidência dos encargos do grupo A sobre o grupo B</t>
  </si>
  <si>
    <t>TOTAL - GRUPO D</t>
  </si>
  <si>
    <t>GRUPO E</t>
  </si>
  <si>
    <t>E.01 Incidência do FGTS sobre o aviso prévio indenizado</t>
  </si>
  <si>
    <t>E.02 Incidência do FGTS sobre o período médio de afastamento superior a 15 dias motivado por acidente do trabalho</t>
  </si>
  <si>
    <t>E.03 Incidência de FGTS sobre férias 1/3 constitucional</t>
  </si>
  <si>
    <t xml:space="preserve">TOTAL - GRUPO E </t>
  </si>
  <si>
    <t>GRUPO F</t>
  </si>
  <si>
    <t xml:space="preserve">F.01 Incidência dos encargos do Grupo A sobre os valores constantes da base de cálculo referente ao salário maternidade </t>
  </si>
  <si>
    <t>TOTAL - GRUPO F</t>
  </si>
  <si>
    <t>TOTAL - ENCARGOS SOCIAIS (R$)</t>
  </si>
  <si>
    <t>VALOR TOTAL DE REMUNERAÇÃO + ENCARGOS SOCIAIS (R$)</t>
  </si>
  <si>
    <t>III - INSUMOS</t>
  </si>
  <si>
    <t>Uniforme</t>
  </si>
  <si>
    <t xml:space="preserve">Auxílio alimentação </t>
  </si>
  <si>
    <t>Vale transporte</t>
  </si>
  <si>
    <r>
      <t xml:space="preserve">Desconto legal sobre transporte (máximo 6% do </t>
    </r>
    <r>
      <rPr>
        <b/>
        <sz val="11"/>
        <rFont val="Calibri"/>
        <family val="2"/>
        <scheme val="minor"/>
      </rPr>
      <t>salário-base</t>
    </r>
    <r>
      <rPr>
        <sz val="11"/>
        <rFont val="Calibri"/>
        <family val="2"/>
        <scheme val="minor"/>
      </rPr>
      <t>)</t>
    </r>
  </si>
  <si>
    <t>Cesta Básica</t>
  </si>
  <si>
    <t>TOTAL - INSUMOS (R$)</t>
  </si>
  <si>
    <t>V - LDI E TRIBUTAÇÃO</t>
  </si>
  <si>
    <t>LUCRO E DESPESAS INDIRETAS (LDI)</t>
  </si>
  <si>
    <t>Despesas Administrativas/Operacionais</t>
  </si>
  <si>
    <t>Lucro</t>
  </si>
  <si>
    <t>TOTAL - LUCRO E DESPESAS INDIRETAS</t>
  </si>
  <si>
    <t>TRIBUTAÇÃO SOBRE FATURAMENTO</t>
  </si>
  <si>
    <t>ISS</t>
  </si>
  <si>
    <t>COFINS</t>
  </si>
  <si>
    <t>PIS</t>
  </si>
  <si>
    <t>TOTAL - TRIBUTAÇÃO SOBRE FATURAMENTO</t>
  </si>
  <si>
    <t>PREÇO MENSAL PARA 1 (UM) EMPREGADO (R$)</t>
  </si>
  <si>
    <t>Quantidade de empregados no posto</t>
  </si>
  <si>
    <t>PREÇO MENSAL POR POSTO (R$)</t>
  </si>
  <si>
    <t>PREÇO ANUAL POR POSTO (R$)</t>
  </si>
  <si>
    <t>Item</t>
  </si>
  <si>
    <t>%</t>
  </si>
  <si>
    <t>TOTAL ENCARGOS SOCIAIS</t>
  </si>
  <si>
    <t>Limpeza</t>
  </si>
  <si>
    <t>UNIFORMES</t>
  </si>
  <si>
    <t>Peça</t>
  </si>
  <si>
    <t>Descrição</t>
  </si>
  <si>
    <t>Valor Médio Unitário (R$)</t>
  </si>
  <si>
    <t>Qtde. Anual</t>
  </si>
  <si>
    <t>Valor Anual/ Empregado (R$)</t>
  </si>
  <si>
    <t>Valor Mensal/ Empregado (R$)</t>
  </si>
  <si>
    <t xml:space="preserve">Calça </t>
  </si>
  <si>
    <t>Comprida com zíper ou elástico, de gabardine, brim ou algodão, nas cores cinza ou preta.</t>
  </si>
  <si>
    <t xml:space="preserve">Blusa </t>
  </si>
  <si>
    <t xml:space="preserve">Calçado </t>
  </si>
  <si>
    <t>TOTAL (R$)</t>
  </si>
  <si>
    <t>RECEPÇÃO</t>
  </si>
  <si>
    <t>Camisa social</t>
  </si>
  <si>
    <t>Sapatos</t>
  </si>
  <si>
    <t>Valor Mensal (R$)</t>
  </si>
  <si>
    <t>Qtde. de Postos</t>
  </si>
  <si>
    <t>RESUMO DE CUSTOS</t>
  </si>
  <si>
    <t>MÃO DE OBRA</t>
  </si>
  <si>
    <t>Serviços</t>
  </si>
  <si>
    <t xml:space="preserve">Turno </t>
  </si>
  <si>
    <t>Empregados/ Posto</t>
  </si>
  <si>
    <r>
      <t>Valor Mensal Total</t>
    </r>
    <r>
      <rPr>
        <b/>
        <sz val="11"/>
        <color indexed="8"/>
        <rFont val="Calibri"/>
        <family val="2"/>
        <scheme val="minor"/>
      </rPr>
      <t xml:space="preserve"> (R$)</t>
    </r>
  </si>
  <si>
    <r>
      <t>Valor Anual</t>
    </r>
    <r>
      <rPr>
        <b/>
        <sz val="11"/>
        <color indexed="8"/>
        <rFont val="Calibri"/>
        <family val="2"/>
        <scheme val="minor"/>
      </rPr>
      <t xml:space="preserve"> (R$)</t>
    </r>
  </si>
  <si>
    <t>TOTAL MÃO DE OBRA (R$)</t>
  </si>
  <si>
    <t>MATERIAIS</t>
  </si>
  <si>
    <r>
      <t>Valor Mensal</t>
    </r>
    <r>
      <rPr>
        <b/>
        <sz val="11"/>
        <color indexed="8"/>
        <rFont val="Calibri"/>
        <family val="2"/>
        <scheme val="minor"/>
      </rPr>
      <t xml:space="preserve"> (R$)</t>
    </r>
  </si>
  <si>
    <t xml:space="preserve">Total </t>
  </si>
  <si>
    <t>Lucro e Despesas Indiretas</t>
  </si>
  <si>
    <t xml:space="preserve">Lucro  </t>
  </si>
  <si>
    <t>Despesas Indiretas</t>
  </si>
  <si>
    <t>Total LDI</t>
  </si>
  <si>
    <t>Tributação sobre Faturamento</t>
  </si>
  <si>
    <t>Total Tributação</t>
  </si>
  <si>
    <t>TOTAL MATERIAIS (R$)</t>
  </si>
  <si>
    <t>TOTALIZAÇÃO (serviços + materiais)</t>
  </si>
  <si>
    <t>Valor Anual (R$)</t>
  </si>
  <si>
    <t>Mão de obra</t>
  </si>
  <si>
    <t>Adicional de Insalubridade</t>
  </si>
  <si>
    <t>Noturno</t>
  </si>
  <si>
    <t>Serviços Gerais</t>
  </si>
  <si>
    <t>Jardinagem</t>
  </si>
  <si>
    <t>Manutenção Predial</t>
  </si>
  <si>
    <t>Manutenção Predial e de Jardins</t>
  </si>
  <si>
    <t>Agente de Portaria</t>
  </si>
  <si>
    <t>Manutenção de Ar Condicionado</t>
  </si>
  <si>
    <t>Manutenção de Elevador</t>
  </si>
  <si>
    <t>Condução de Veículos</t>
  </si>
  <si>
    <t>Limpeza e Copeiragem</t>
  </si>
  <si>
    <t>C.04 Abono de Férias - 1/3 constitucional</t>
  </si>
  <si>
    <t>C.05 Abono de Férias - 1/3 constitucional sobre licença maternidade</t>
  </si>
  <si>
    <t>Motorista</t>
  </si>
  <si>
    <t>40 h</t>
  </si>
  <si>
    <t>Camisa</t>
  </si>
  <si>
    <t>social manga longa, fechamento com botões.</t>
  </si>
  <si>
    <t>De boa qualidade, com gola, cor cinza ou branca, e emblema da empresa bordado no lado superior esquerdo.</t>
  </si>
  <si>
    <t>calça</t>
  </si>
  <si>
    <t>social cor preta</t>
  </si>
  <si>
    <t>adequado para o serviço</t>
  </si>
  <si>
    <t>adequado ao serviço</t>
  </si>
  <si>
    <t>Gola polo, brim ou algodão, nas cores cinza ou preta, com zíper ou botões na frente,  e emblema da empresa no lado esquerdo superior.</t>
  </si>
  <si>
    <t>TOTAL 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</si>
</sst>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&quot;R$&quot;* #,##0.00_);_(&quot;R$&quot;* \(#,##0.00\);_(&quot;R$&quot;* &quot;-&quot;??_);_(@_)"/>
    <numFmt numFmtId="167" formatCode="0.000%"/>
    <numFmt numFmtId="168" formatCode="_(* #,##0.00_);_(* \(#,##0.00\);_(* \-??_);_(@_)"/>
    <numFmt numFmtId="169" formatCode="[$-F400]h:mm:ss\ AM/PM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4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6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9" fillId="0" borderId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7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23" borderId="4" applyNumberFormat="0" applyFont="0" applyAlignment="0" applyProtection="0"/>
    <xf numFmtId="0" fontId="11" fillId="23" borderId="4" applyNumberFormat="0" applyFont="0" applyAlignment="0" applyProtection="0"/>
    <xf numFmtId="0" fontId="11" fillId="23" borderId="4" applyNumberFormat="0" applyFont="0" applyAlignment="0" applyProtection="0"/>
    <xf numFmtId="0" fontId="11" fillId="23" borderId="4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4" fontId="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16" borderId="14" applyNumberFormat="0" applyAlignment="0" applyProtection="0"/>
    <xf numFmtId="0" fontId="14" fillId="16" borderId="14" applyNumberFormat="0" applyAlignment="0" applyProtection="0"/>
    <xf numFmtId="0" fontId="14" fillId="16" borderId="14" applyNumberFormat="0" applyAlignment="0" applyProtection="0"/>
    <xf numFmtId="0" fontId="14" fillId="16" borderId="14" applyNumberFormat="0" applyAlignment="0" applyProtection="0"/>
    <xf numFmtId="0" fontId="17" fillId="7" borderId="14" applyNumberFormat="0" applyAlignment="0" applyProtection="0"/>
    <xf numFmtId="0" fontId="17" fillId="7" borderId="14" applyNumberFormat="0" applyAlignment="0" applyProtection="0"/>
    <xf numFmtId="0" fontId="17" fillId="7" borderId="14" applyNumberFormat="0" applyAlignment="0" applyProtection="0"/>
    <xf numFmtId="0" fontId="17" fillId="7" borderId="14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3" borderId="15" applyNumberFormat="0" applyFont="0" applyAlignment="0" applyProtection="0"/>
    <xf numFmtId="0" fontId="11" fillId="23" borderId="15" applyNumberFormat="0" applyFont="0" applyAlignment="0" applyProtection="0"/>
    <xf numFmtId="0" fontId="11" fillId="23" borderId="15" applyNumberFormat="0" applyFont="0" applyAlignment="0" applyProtection="0"/>
    <xf numFmtId="0" fontId="11" fillId="23" borderId="1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16" borderId="16" applyNumberFormat="0" applyAlignment="0" applyProtection="0"/>
    <xf numFmtId="0" fontId="20" fillId="16" borderId="16" applyNumberFormat="0" applyAlignment="0" applyProtection="0"/>
    <xf numFmtId="0" fontId="20" fillId="16" borderId="16" applyNumberFormat="0" applyAlignment="0" applyProtection="0"/>
    <xf numFmtId="0" fontId="20" fillId="16" borderId="16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14" fillId="16" borderId="14" applyNumberFormat="0" applyAlignment="0" applyProtection="0"/>
    <xf numFmtId="0" fontId="14" fillId="16" borderId="14" applyNumberFormat="0" applyAlignment="0" applyProtection="0"/>
    <xf numFmtId="0" fontId="14" fillId="16" borderId="14" applyNumberFormat="0" applyAlignment="0" applyProtection="0"/>
    <xf numFmtId="0" fontId="14" fillId="16" borderId="14" applyNumberFormat="0" applyAlignment="0" applyProtection="0"/>
    <xf numFmtId="0" fontId="17" fillId="7" borderId="14" applyNumberFormat="0" applyAlignment="0" applyProtection="0"/>
    <xf numFmtId="0" fontId="17" fillId="7" borderId="14" applyNumberFormat="0" applyAlignment="0" applyProtection="0"/>
    <xf numFmtId="0" fontId="17" fillId="7" borderId="14" applyNumberFormat="0" applyAlignment="0" applyProtection="0"/>
    <xf numFmtId="0" fontId="17" fillId="7" borderId="14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16" borderId="16" applyNumberFormat="0" applyAlignment="0" applyProtection="0"/>
    <xf numFmtId="0" fontId="20" fillId="16" borderId="16" applyNumberFormat="0" applyAlignment="0" applyProtection="0"/>
    <xf numFmtId="0" fontId="20" fillId="16" borderId="16" applyNumberFormat="0" applyAlignment="0" applyProtection="0"/>
    <xf numFmtId="0" fontId="20" fillId="16" borderId="16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164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235">
    <xf numFmtId="0" fontId="0" fillId="0" borderId="0" xfId="0"/>
    <xf numFmtId="0" fontId="37" fillId="0" borderId="0" xfId="155"/>
    <xf numFmtId="0" fontId="39" fillId="0" borderId="0" xfId="155" applyFont="1"/>
    <xf numFmtId="9" fontId="37" fillId="0" borderId="0" xfId="155" applyNumberFormat="1"/>
    <xf numFmtId="0" fontId="42" fillId="0" borderId="0" xfId="156" applyFont="1" applyAlignment="1" applyProtection="1">
      <alignment vertical="center"/>
      <protection locked="0"/>
    </xf>
    <xf numFmtId="0" fontId="42" fillId="0" borderId="0" xfId="156" applyFont="1" applyAlignment="1" applyProtection="1">
      <alignment vertical="center"/>
    </xf>
    <xf numFmtId="0" fontId="42" fillId="24" borderId="0" xfId="156" applyFont="1" applyFill="1" applyBorder="1" applyAlignment="1" applyProtection="1">
      <alignment horizontal="right" vertical="center"/>
    </xf>
    <xf numFmtId="0" fontId="41" fillId="29" borderId="0" xfId="156" applyFont="1" applyFill="1" applyBorder="1" applyAlignment="1" applyProtection="1">
      <alignment horizontal="right" vertical="center"/>
      <protection locked="0"/>
    </xf>
    <xf numFmtId="0" fontId="41" fillId="29" borderId="0" xfId="156" applyFont="1" applyFill="1" applyBorder="1" applyAlignment="1" applyProtection="1">
      <alignment horizontal="left" vertical="center"/>
      <protection locked="0"/>
    </xf>
    <xf numFmtId="0" fontId="41" fillId="29" borderId="0" xfId="156" applyFont="1" applyFill="1" applyBorder="1" applyAlignment="1" applyProtection="1">
      <alignment vertical="center"/>
      <protection locked="0"/>
    </xf>
    <xf numFmtId="0" fontId="42" fillId="0" borderId="0" xfId="156" applyFont="1" applyFill="1" applyAlignment="1" applyProtection="1">
      <alignment vertical="center"/>
      <protection locked="0"/>
    </xf>
    <xf numFmtId="0" fontId="42" fillId="0" borderId="0" xfId="156" applyFont="1" applyFill="1" applyAlignment="1" applyProtection="1">
      <alignment vertical="center"/>
    </xf>
    <xf numFmtId="0" fontId="42" fillId="0" borderId="0" xfId="156" applyFont="1" applyFill="1" applyAlignment="1" applyProtection="1">
      <alignment horizontal="left" vertical="center"/>
      <protection locked="0"/>
    </xf>
    <xf numFmtId="0" fontId="42" fillId="0" borderId="12" xfId="156" applyFont="1" applyFill="1" applyBorder="1" applyAlignment="1" applyProtection="1">
      <alignment horizontal="right" vertical="center" wrapText="1"/>
    </xf>
    <xf numFmtId="43" fontId="42" fillId="29" borderId="12" xfId="243" applyFont="1" applyFill="1" applyBorder="1" applyAlignment="1" applyProtection="1">
      <alignment vertical="center"/>
      <protection locked="0"/>
    </xf>
    <xf numFmtId="0" fontId="41" fillId="29" borderId="12" xfId="156" applyFont="1" applyFill="1" applyBorder="1" applyAlignment="1" applyProtection="1">
      <alignment vertical="center"/>
      <protection locked="0"/>
    </xf>
    <xf numFmtId="0" fontId="42" fillId="24" borderId="0" xfId="156" applyFont="1" applyFill="1" applyBorder="1" applyAlignment="1" applyProtection="1">
      <alignment horizontal="left" vertical="center"/>
    </xf>
    <xf numFmtId="4" fontId="42" fillId="24" borderId="0" xfId="156" applyNumberFormat="1" applyFont="1" applyFill="1" applyBorder="1" applyAlignment="1" applyProtection="1">
      <alignment horizontal="right" vertical="center"/>
    </xf>
    <xf numFmtId="0" fontId="42" fillId="24" borderId="0" xfId="156" applyFont="1" applyFill="1" applyAlignment="1" applyProtection="1">
      <alignment vertical="center"/>
    </xf>
    <xf numFmtId="0" fontId="40" fillId="0" borderId="0" xfId="156" applyFont="1" applyAlignment="1" applyProtection="1">
      <alignment vertical="center"/>
      <protection locked="0"/>
    </xf>
    <xf numFmtId="0" fontId="40" fillId="0" borderId="0" xfId="156" applyFont="1" applyAlignment="1" applyProtection="1">
      <alignment vertical="center"/>
    </xf>
    <xf numFmtId="0" fontId="42" fillId="24" borderId="0" xfId="156" applyFont="1" applyFill="1" applyBorder="1" applyAlignment="1" applyProtection="1">
      <alignment vertical="center" wrapText="1"/>
    </xf>
    <xf numFmtId="167" fontId="42" fillId="24" borderId="0" xfId="174" applyNumberFormat="1" applyFont="1" applyFill="1" applyBorder="1" applyAlignment="1" applyProtection="1">
      <alignment horizontal="right" vertical="center"/>
    </xf>
    <xf numFmtId="0" fontId="42" fillId="0" borderId="0" xfId="156" applyFont="1" applyAlignment="1" applyProtection="1">
      <alignment horizontal="left" vertical="center"/>
    </xf>
    <xf numFmtId="167" fontId="42" fillId="0" borderId="0" xfId="178" applyNumberFormat="1" applyFont="1" applyFill="1" applyBorder="1" applyAlignment="1" applyProtection="1">
      <alignment horizontal="right" vertical="center"/>
    </xf>
    <xf numFmtId="0" fontId="41" fillId="0" borderId="0" xfId="156" applyFont="1" applyAlignment="1" applyProtection="1">
      <alignment vertical="center"/>
      <protection locked="0"/>
    </xf>
    <xf numFmtId="0" fontId="41" fillId="0" borderId="0" xfId="156" applyFont="1" applyAlignment="1" applyProtection="1">
      <alignment vertical="center"/>
    </xf>
    <xf numFmtId="0" fontId="41" fillId="24" borderId="0" xfId="156" applyFont="1" applyFill="1" applyBorder="1" applyAlignment="1" applyProtection="1">
      <alignment horizontal="left" vertical="center" wrapText="1"/>
    </xf>
    <xf numFmtId="0" fontId="42" fillId="0" borderId="0" xfId="156" applyFont="1" applyFill="1" applyBorder="1" applyAlignment="1" applyProtection="1">
      <alignment horizontal="left" vertical="center"/>
    </xf>
    <xf numFmtId="164" fontId="42" fillId="0" borderId="0" xfId="241" applyFont="1" applyFill="1" applyBorder="1" applyAlignment="1" applyProtection="1">
      <alignment vertical="center"/>
    </xf>
    <xf numFmtId="0" fontId="42" fillId="0" borderId="0" xfId="156" applyFont="1" applyFill="1" applyBorder="1" applyAlignment="1" applyProtection="1">
      <alignment horizontal="left" vertical="center" wrapText="1"/>
    </xf>
    <xf numFmtId="0" fontId="42" fillId="24" borderId="0" xfId="156" applyFont="1" applyFill="1" applyAlignment="1" applyProtection="1">
      <alignment vertical="center"/>
      <protection locked="0"/>
    </xf>
    <xf numFmtId="2" fontId="42" fillId="0" borderId="12" xfId="156" applyNumberFormat="1" applyFont="1" applyFill="1" applyBorder="1" applyAlignment="1" applyProtection="1">
      <alignment horizontal="left" vertical="center" wrapText="1"/>
    </xf>
    <xf numFmtId="10" fontId="42" fillId="0" borderId="12" xfId="174" applyNumberFormat="1" applyFont="1" applyFill="1" applyBorder="1" applyAlignment="1" applyProtection="1">
      <alignment horizontal="center" vertical="center"/>
    </xf>
    <xf numFmtId="10" fontId="42" fillId="0" borderId="12" xfId="174" applyNumberFormat="1" applyFont="1" applyFill="1" applyBorder="1" applyAlignment="1" applyProtection="1">
      <alignment horizontal="right" vertical="center"/>
    </xf>
    <xf numFmtId="10" fontId="42" fillId="0" borderId="0" xfId="156" applyNumberFormat="1" applyFont="1" applyFill="1" applyBorder="1" applyAlignment="1" applyProtection="1">
      <alignment horizontal="center" vertical="center" wrapText="1"/>
    </xf>
    <xf numFmtId="0" fontId="42" fillId="0" borderId="12" xfId="156" applyFont="1" applyFill="1" applyBorder="1" applyAlignment="1" applyProtection="1">
      <alignment horizontal="left" vertical="center" wrapText="1"/>
    </xf>
    <xf numFmtId="10" fontId="42" fillId="0" borderId="12" xfId="156" applyNumberFormat="1" applyFont="1" applyFill="1" applyBorder="1" applyAlignment="1" applyProtection="1">
      <alignment horizontal="center" vertical="center" wrapText="1"/>
    </xf>
    <xf numFmtId="4" fontId="42" fillId="0" borderId="0" xfId="156" applyNumberFormat="1" applyFont="1" applyAlignment="1" applyProtection="1">
      <alignment vertical="center"/>
    </xf>
    <xf numFmtId="0" fontId="4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</xf>
    <xf numFmtId="164" fontId="42" fillId="0" borderId="0" xfId="239" applyFont="1" applyAlignment="1" applyProtection="1">
      <alignment vertical="center"/>
    </xf>
    <xf numFmtId="4" fontId="42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7" fillId="0" borderId="0" xfId="156" applyFont="1" applyAlignment="1" applyProtection="1">
      <alignment vertical="center"/>
    </xf>
    <xf numFmtId="0" fontId="43" fillId="28" borderId="11" xfId="0" applyFont="1" applyFill="1" applyBorder="1" applyAlignment="1" applyProtection="1">
      <alignment vertical="center"/>
      <protection locked="0"/>
    </xf>
    <xf numFmtId="1" fontId="43" fillId="28" borderId="11" xfId="0" applyNumberFormat="1" applyFont="1" applyFill="1" applyBorder="1" applyAlignment="1" applyProtection="1">
      <alignment horizontal="center" vertical="center" wrapText="1"/>
    </xf>
    <xf numFmtId="4" fontId="43" fillId="28" borderId="11" xfId="239" applyNumberFormat="1" applyFont="1" applyFill="1" applyBorder="1" applyAlignment="1" applyProtection="1">
      <alignment horizontal="right" vertical="center"/>
    </xf>
    <xf numFmtId="0" fontId="43" fillId="25" borderId="13" xfId="0" applyFont="1" applyFill="1" applyBorder="1" applyAlignment="1" applyProtection="1">
      <alignment horizontal="center" vertical="center" wrapText="1"/>
    </xf>
    <xf numFmtId="0" fontId="46" fillId="24" borderId="12" xfId="0" applyFont="1" applyFill="1" applyBorder="1" applyAlignment="1" applyProtection="1">
      <alignment horizontal="center" vertical="center" wrapText="1"/>
    </xf>
    <xf numFmtId="4" fontId="46" fillId="24" borderId="12" xfId="0" applyNumberFormat="1" applyFont="1" applyFill="1" applyBorder="1" applyAlignment="1" applyProtection="1">
      <alignment horizontal="left" vertical="center" wrapText="1"/>
    </xf>
    <xf numFmtId="0" fontId="43" fillId="0" borderId="12" xfId="0" applyFont="1" applyFill="1" applyBorder="1" applyAlignment="1" applyProtection="1">
      <alignment horizontal="center" vertical="center" wrapText="1"/>
    </xf>
    <xf numFmtId="0" fontId="41" fillId="25" borderId="11" xfId="0" applyFont="1" applyFill="1" applyBorder="1" applyAlignment="1" applyProtection="1">
      <alignment horizontal="center" wrapText="1"/>
    </xf>
    <xf numFmtId="0" fontId="41" fillId="25" borderId="11" xfId="0" applyFont="1" applyFill="1" applyBorder="1" applyAlignment="1" applyProtection="1">
      <alignment horizontal="center" vertical="center" wrapText="1"/>
    </xf>
    <xf numFmtId="0" fontId="41" fillId="28" borderId="11" xfId="0" applyFont="1" applyFill="1" applyBorder="1" applyAlignment="1" applyProtection="1">
      <alignment vertical="center"/>
    </xf>
    <xf numFmtId="4" fontId="41" fillId="28" borderId="11" xfId="239" applyNumberFormat="1" applyFont="1" applyFill="1" applyBorder="1" applyAlignment="1" applyProtection="1">
      <alignment horizontal="right" vertical="center"/>
    </xf>
    <xf numFmtId="4" fontId="42" fillId="0" borderId="12" xfId="239" applyNumberFormat="1" applyFont="1" applyBorder="1" applyAlignment="1" applyProtection="1">
      <alignment horizontal="right" vertical="center"/>
    </xf>
    <xf numFmtId="0" fontId="41" fillId="25" borderId="11" xfId="0" applyFont="1" applyFill="1" applyBorder="1" applyAlignment="1" applyProtection="1">
      <alignment vertical="center"/>
    </xf>
    <xf numFmtId="4" fontId="41" fillId="25" borderId="11" xfId="239" applyNumberFormat="1" applyFont="1" applyFill="1" applyBorder="1" applyAlignment="1" applyProtection="1">
      <alignment horizontal="right" vertical="center"/>
    </xf>
    <xf numFmtId="0" fontId="40" fillId="0" borderId="0" xfId="156" applyFont="1" applyFill="1" applyAlignment="1" applyProtection="1">
      <alignment vertical="center"/>
      <protection locked="0"/>
    </xf>
    <xf numFmtId="0" fontId="40" fillId="0" borderId="0" xfId="156" applyFont="1" applyFill="1" applyAlignment="1" applyProtection="1">
      <alignment vertical="center"/>
    </xf>
    <xf numFmtId="4" fontId="41" fillId="29" borderId="0" xfId="243" applyNumberFormat="1" applyFont="1" applyFill="1" applyBorder="1" applyAlignment="1" applyProtection="1">
      <alignment horizontal="right" vertical="center"/>
      <protection locked="0"/>
    </xf>
    <xf numFmtId="4" fontId="42" fillId="24" borderId="0" xfId="241" applyNumberFormat="1" applyFont="1" applyFill="1" applyBorder="1" applyAlignment="1" applyProtection="1">
      <alignment horizontal="right" vertical="center"/>
    </xf>
    <xf numFmtId="4" fontId="42" fillId="29" borderId="0" xfId="241" applyNumberFormat="1" applyFont="1" applyFill="1" applyBorder="1" applyAlignment="1" applyProtection="1">
      <alignment horizontal="right" vertical="center"/>
      <protection locked="0"/>
    </xf>
    <xf numFmtId="4" fontId="42" fillId="0" borderId="12" xfId="174" applyNumberFormat="1" applyFont="1" applyFill="1" applyBorder="1" applyAlignment="1" applyProtection="1">
      <alignment horizontal="right" vertical="center"/>
    </xf>
    <xf numFmtId="167" fontId="42" fillId="24" borderId="0" xfId="156" applyNumberFormat="1" applyFont="1" applyFill="1" applyBorder="1" applyAlignment="1" applyProtection="1">
      <alignment horizontal="right" vertical="center"/>
    </xf>
    <xf numFmtId="0" fontId="41" fillId="30" borderId="0" xfId="156" applyFont="1" applyFill="1" applyAlignment="1" applyProtection="1">
      <alignment horizontal="center" vertical="center"/>
      <protection locked="0"/>
    </xf>
    <xf numFmtId="167" fontId="42" fillId="0" borderId="0" xfId="156" applyNumberFormat="1" applyFont="1" applyAlignment="1" applyProtection="1">
      <alignment vertical="center"/>
      <protection locked="0"/>
    </xf>
    <xf numFmtId="167" fontId="42" fillId="0" borderId="12" xfId="178" applyNumberFormat="1" applyFont="1" applyFill="1" applyBorder="1" applyAlignment="1" applyProtection="1">
      <alignment horizontal="right" vertical="center"/>
    </xf>
    <xf numFmtId="167" fontId="42" fillId="0" borderId="0" xfId="174" applyNumberFormat="1" applyFont="1" applyFill="1" applyBorder="1" applyAlignment="1" applyProtection="1">
      <alignment horizontal="right" vertical="center"/>
    </xf>
    <xf numFmtId="0" fontId="42" fillId="31" borderId="0" xfId="156" applyFont="1" applyFill="1" applyAlignment="1" applyProtection="1">
      <alignment horizontal="left" vertical="center"/>
      <protection locked="0"/>
    </xf>
    <xf numFmtId="0" fontId="42" fillId="0" borderId="0" xfId="156" applyFont="1" applyFill="1" applyAlignment="1" applyProtection="1">
      <alignment horizontal="right" vertical="center"/>
      <protection locked="0"/>
    </xf>
    <xf numFmtId="167" fontId="42" fillId="24" borderId="0" xfId="174" quotePrefix="1" applyNumberFormat="1" applyFont="1" applyFill="1" applyBorder="1" applyAlignment="1" applyProtection="1">
      <alignment horizontal="right" vertical="center"/>
    </xf>
    <xf numFmtId="167" fontId="42" fillId="24" borderId="0" xfId="178" quotePrefix="1" applyNumberFormat="1" applyFont="1" applyFill="1" applyBorder="1" applyAlignment="1" applyProtection="1">
      <alignment horizontal="right" vertical="center"/>
    </xf>
    <xf numFmtId="167" fontId="42" fillId="0" borderId="0" xfId="178" quotePrefix="1" applyNumberFormat="1" applyFont="1" applyFill="1" applyBorder="1" applyAlignment="1" applyProtection="1">
      <alignment horizontal="right" vertical="center"/>
    </xf>
    <xf numFmtId="167" fontId="42" fillId="0" borderId="0" xfId="174" quotePrefix="1" applyNumberFormat="1" applyFont="1" applyFill="1" applyBorder="1" applyAlignment="1" applyProtection="1">
      <alignment horizontal="right" vertical="center"/>
    </xf>
    <xf numFmtId="167" fontId="45" fillId="0" borderId="0" xfId="174" quotePrefix="1" applyNumberFormat="1" applyFont="1" applyFill="1" applyBorder="1" applyAlignment="1" applyProtection="1">
      <alignment horizontal="right" vertical="center"/>
    </xf>
    <xf numFmtId="167" fontId="42" fillId="0" borderId="0" xfId="244" quotePrefix="1" applyNumberFormat="1" applyFont="1" applyFill="1" applyBorder="1" applyAlignment="1" applyProtection="1">
      <alignment horizontal="right" vertical="center"/>
    </xf>
    <xf numFmtId="167" fontId="45" fillId="24" borderId="0" xfId="174" quotePrefix="1" applyNumberFormat="1" applyFont="1" applyFill="1" applyBorder="1" applyAlignment="1" applyProtection="1">
      <alignment horizontal="right" vertical="center"/>
    </xf>
    <xf numFmtId="167" fontId="42" fillId="24" borderId="12" xfId="174" quotePrefix="1" applyNumberFormat="1" applyFont="1" applyFill="1" applyBorder="1" applyAlignment="1" applyProtection="1">
      <alignment horizontal="right" vertical="center"/>
    </xf>
    <xf numFmtId="10" fontId="42" fillId="0" borderId="0" xfId="244" applyNumberFormat="1" applyFont="1" applyFill="1" applyBorder="1" applyAlignment="1" applyProtection="1">
      <alignment horizontal="right" vertical="center"/>
    </xf>
    <xf numFmtId="10" fontId="42" fillId="0" borderId="12" xfId="244" applyNumberFormat="1" applyFont="1" applyFill="1" applyBorder="1" applyAlignment="1" applyProtection="1">
      <alignment horizontal="right" vertical="center"/>
    </xf>
    <xf numFmtId="4" fontId="42" fillId="24" borderId="0" xfId="244" applyNumberFormat="1" applyFont="1" applyFill="1" applyBorder="1" applyAlignment="1" applyProtection="1">
      <alignment horizontal="right" vertical="center"/>
    </xf>
    <xf numFmtId="4" fontId="42" fillId="0" borderId="0" xfId="244" applyNumberFormat="1" applyFont="1" applyFill="1" applyBorder="1" applyAlignment="1" applyProtection="1">
      <alignment horizontal="right" vertical="center"/>
    </xf>
    <xf numFmtId="4" fontId="42" fillId="24" borderId="12" xfId="244" applyNumberFormat="1" applyFont="1" applyFill="1" applyBorder="1" applyAlignment="1" applyProtection="1">
      <alignment horizontal="right" vertical="center"/>
    </xf>
    <xf numFmtId="4" fontId="42" fillId="0" borderId="12" xfId="244" applyNumberFormat="1" applyFont="1" applyFill="1" applyBorder="1" applyAlignment="1" applyProtection="1">
      <alignment horizontal="right" vertical="center"/>
    </xf>
    <xf numFmtId="0" fontId="42" fillId="0" borderId="0" xfId="244" applyFont="1" applyAlignment="1" applyProtection="1">
      <alignment vertical="center"/>
    </xf>
    <xf numFmtId="0" fontId="42" fillId="0" borderId="0" xfId="375" applyFont="1" applyAlignment="1" applyProtection="1">
      <alignment horizontal="left" vertical="center" wrapText="1"/>
      <protection locked="0"/>
    </xf>
    <xf numFmtId="0" fontId="42" fillId="0" borderId="0" xfId="375" applyFont="1" applyAlignment="1" applyProtection="1">
      <alignment horizontal="center" vertical="center" wrapText="1"/>
      <protection locked="0"/>
    </xf>
    <xf numFmtId="49" fontId="41" fillId="27" borderId="18" xfId="156" applyNumberFormat="1" applyFont="1" applyFill="1" applyBorder="1" applyAlignment="1" applyProtection="1">
      <alignment vertical="center"/>
    </xf>
    <xf numFmtId="4" fontId="41" fillId="27" borderId="18" xfId="156" applyNumberFormat="1" applyFont="1" applyFill="1" applyBorder="1" applyAlignment="1" applyProtection="1">
      <alignment horizontal="right" vertical="center"/>
    </xf>
    <xf numFmtId="4" fontId="41" fillId="27" borderId="18" xfId="243" applyNumberFormat="1" applyFont="1" applyFill="1" applyBorder="1" applyAlignment="1" applyProtection="1">
      <alignment horizontal="right" vertical="center"/>
    </xf>
    <xf numFmtId="0" fontId="41" fillId="24" borderId="18" xfId="156" applyFont="1" applyFill="1" applyBorder="1" applyAlignment="1" applyProtection="1">
      <alignment vertical="center" wrapText="1"/>
    </xf>
    <xf numFmtId="167" fontId="44" fillId="24" borderId="18" xfId="156" applyNumberFormat="1" applyFont="1" applyFill="1" applyBorder="1" applyAlignment="1" applyProtection="1">
      <alignment horizontal="right" vertical="center"/>
    </xf>
    <xf numFmtId="10" fontId="41" fillId="24" borderId="18" xfId="178" applyNumberFormat="1" applyFont="1" applyFill="1" applyBorder="1" applyAlignment="1" applyProtection="1">
      <alignment vertical="center"/>
    </xf>
    <xf numFmtId="4" fontId="41" fillId="24" borderId="18" xfId="156" applyNumberFormat="1" applyFont="1" applyFill="1" applyBorder="1" applyAlignment="1" applyProtection="1">
      <alignment horizontal="right" vertical="center"/>
    </xf>
    <xf numFmtId="0" fontId="41" fillId="0" borderId="18" xfId="156" applyFont="1" applyFill="1" applyBorder="1" applyAlignment="1" applyProtection="1">
      <alignment horizontal="left" vertical="center" wrapText="1"/>
    </xf>
    <xf numFmtId="0" fontId="41" fillId="0" borderId="18" xfId="156" applyFont="1" applyFill="1" applyBorder="1" applyAlignment="1" applyProtection="1">
      <alignment vertical="center"/>
    </xf>
    <xf numFmtId="4" fontId="41" fillId="0" borderId="18" xfId="156" applyNumberFormat="1" applyFont="1" applyFill="1" applyBorder="1" applyAlignment="1" applyProtection="1">
      <alignment horizontal="right" vertical="center"/>
    </xf>
    <xf numFmtId="0" fontId="42" fillId="24" borderId="18" xfId="156" applyFont="1" applyFill="1" applyBorder="1" applyAlignment="1" applyProtection="1">
      <alignment vertical="center"/>
    </xf>
    <xf numFmtId="167" fontId="41" fillId="24" borderId="18" xfId="244" quotePrefix="1" applyNumberFormat="1" applyFont="1" applyFill="1" applyBorder="1" applyAlignment="1" applyProtection="1">
      <alignment horizontal="right" vertical="center"/>
    </xf>
    <xf numFmtId="4" fontId="41" fillId="24" borderId="18" xfId="244" applyNumberFormat="1" applyFont="1" applyFill="1" applyBorder="1" applyAlignment="1" applyProtection="1">
      <alignment horizontal="right" vertical="center"/>
    </xf>
    <xf numFmtId="0" fontId="41" fillId="24" borderId="18" xfId="156" applyFont="1" applyFill="1" applyBorder="1" applyAlignment="1" applyProtection="1">
      <alignment horizontal="left" vertical="center" wrapText="1"/>
    </xf>
    <xf numFmtId="167" fontId="41" fillId="24" borderId="18" xfId="156" applyNumberFormat="1" applyFont="1" applyFill="1" applyBorder="1" applyAlignment="1" applyProtection="1">
      <alignment horizontal="right" vertical="center"/>
    </xf>
    <xf numFmtId="0" fontId="42" fillId="0" borderId="19" xfId="156" applyFont="1" applyFill="1" applyBorder="1" applyAlignment="1" applyProtection="1">
      <alignment vertical="center" wrapText="1"/>
    </xf>
    <xf numFmtId="167" fontId="42" fillId="0" borderId="19" xfId="178" applyNumberFormat="1" applyFont="1" applyFill="1" applyBorder="1" applyAlignment="1" applyProtection="1">
      <alignment horizontal="right" vertical="center"/>
    </xf>
    <xf numFmtId="167" fontId="42" fillId="24" borderId="19" xfId="178" quotePrefix="1" applyNumberFormat="1" applyFont="1" applyFill="1" applyBorder="1" applyAlignment="1" applyProtection="1">
      <alignment horizontal="right" vertical="center"/>
    </xf>
    <xf numFmtId="0" fontId="41" fillId="0" borderId="18" xfId="156" applyFont="1" applyFill="1" applyBorder="1" applyAlignment="1" applyProtection="1">
      <alignment vertical="center" wrapText="1"/>
    </xf>
    <xf numFmtId="167" fontId="41" fillId="0" borderId="18" xfId="156" applyNumberFormat="1" applyFont="1" applyFill="1" applyBorder="1" applyAlignment="1" applyProtection="1">
      <alignment horizontal="right" vertical="center"/>
    </xf>
    <xf numFmtId="167" fontId="41" fillId="0" borderId="18" xfId="173" quotePrefix="1" applyNumberFormat="1" applyFont="1" applyFill="1" applyBorder="1" applyAlignment="1" applyProtection="1">
      <alignment horizontal="right" vertical="center"/>
    </xf>
    <xf numFmtId="4" fontId="41" fillId="0" borderId="18" xfId="244" applyNumberFormat="1" applyFont="1" applyFill="1" applyBorder="1" applyAlignment="1" applyProtection="1">
      <alignment horizontal="right" vertical="center"/>
    </xf>
    <xf numFmtId="167" fontId="42" fillId="0" borderId="19" xfId="174" applyNumberFormat="1" applyFont="1" applyFill="1" applyBorder="1" applyAlignment="1" applyProtection="1">
      <alignment horizontal="right" vertical="center"/>
    </xf>
    <xf numFmtId="167" fontId="42" fillId="0" borderId="19" xfId="174" quotePrefix="1" applyNumberFormat="1" applyFont="1" applyFill="1" applyBorder="1" applyAlignment="1" applyProtection="1">
      <alignment horizontal="right" vertical="center"/>
    </xf>
    <xf numFmtId="167" fontId="41" fillId="0" borderId="18" xfId="174" applyNumberFormat="1" applyFont="1" applyFill="1" applyBorder="1" applyAlignment="1" applyProtection="1">
      <alignment horizontal="right" vertical="center"/>
    </xf>
    <xf numFmtId="167" fontId="41" fillId="0" borderId="18" xfId="174" quotePrefix="1" applyNumberFormat="1" applyFont="1" applyFill="1" applyBorder="1" applyAlignment="1" applyProtection="1">
      <alignment horizontal="right" vertical="center"/>
    </xf>
    <xf numFmtId="167" fontId="42" fillId="0" borderId="18" xfId="174" quotePrefix="1" applyNumberFormat="1" applyFont="1" applyFill="1" applyBorder="1" applyAlignment="1" applyProtection="1">
      <alignment horizontal="right" vertical="center"/>
    </xf>
    <xf numFmtId="4" fontId="42" fillId="0" borderId="18" xfId="244" applyNumberFormat="1" applyFont="1" applyFill="1" applyBorder="1" applyAlignment="1" applyProtection="1">
      <alignment horizontal="right" vertical="center"/>
    </xf>
    <xf numFmtId="167" fontId="41" fillId="0" borderId="18" xfId="244" quotePrefix="1" applyNumberFormat="1" applyFont="1" applyFill="1" applyBorder="1" applyAlignment="1" applyProtection="1">
      <alignment horizontal="right" vertical="center"/>
    </xf>
    <xf numFmtId="167" fontId="45" fillId="24" borderId="19" xfId="174" quotePrefix="1" applyNumberFormat="1" applyFont="1" applyFill="1" applyBorder="1" applyAlignment="1" applyProtection="1">
      <alignment horizontal="right" vertical="center"/>
    </xf>
    <xf numFmtId="4" fontId="42" fillId="24" borderId="19" xfId="244" applyNumberFormat="1" applyFont="1" applyFill="1" applyBorder="1" applyAlignment="1" applyProtection="1">
      <alignment horizontal="right" vertical="center"/>
    </xf>
    <xf numFmtId="167" fontId="41" fillId="24" borderId="18" xfId="178" quotePrefix="1" applyNumberFormat="1" applyFont="1" applyFill="1" applyBorder="1" applyAlignment="1" applyProtection="1">
      <alignment horizontal="right" vertical="center"/>
    </xf>
    <xf numFmtId="167" fontId="44" fillId="27" borderId="18" xfId="156" applyNumberFormat="1" applyFont="1" applyFill="1" applyBorder="1" applyAlignment="1" applyProtection="1">
      <alignment horizontal="right" vertical="center"/>
    </xf>
    <xf numFmtId="167" fontId="41" fillId="27" borderId="18" xfId="178" quotePrefix="1" applyNumberFormat="1" applyFont="1" applyFill="1" applyBorder="1" applyAlignment="1" applyProtection="1">
      <alignment horizontal="right" vertical="center"/>
    </xf>
    <xf numFmtId="4" fontId="41" fillId="27" borderId="18" xfId="244" applyNumberFormat="1" applyFont="1" applyFill="1" applyBorder="1" applyAlignment="1" applyProtection="1">
      <alignment horizontal="right" vertical="center"/>
    </xf>
    <xf numFmtId="43" fontId="2" fillId="0" borderId="0" xfId="156" applyNumberFormat="1" applyFont="1" applyAlignment="1" applyProtection="1">
      <alignment vertical="center"/>
      <protection locked="0"/>
    </xf>
    <xf numFmtId="0" fontId="2" fillId="0" borderId="0" xfId="156" applyFont="1" applyAlignment="1" applyProtection="1">
      <alignment vertical="center"/>
      <protection locked="0"/>
    </xf>
    <xf numFmtId="164" fontId="41" fillId="27" borderId="18" xfId="241" applyFont="1" applyFill="1" applyBorder="1" applyAlignment="1" applyProtection="1">
      <alignment vertical="center"/>
    </xf>
    <xf numFmtId="4" fontId="41" fillId="27" borderId="18" xfId="241" applyNumberFormat="1" applyFont="1" applyFill="1" applyBorder="1" applyAlignment="1" applyProtection="1">
      <alignment horizontal="right" vertical="center"/>
    </xf>
    <xf numFmtId="0" fontId="41" fillId="27" borderId="18" xfId="156" applyFont="1" applyFill="1" applyBorder="1" applyAlignment="1" applyProtection="1">
      <alignment horizontal="left" vertical="center"/>
    </xf>
    <xf numFmtId="0" fontId="42" fillId="27" borderId="18" xfId="156" applyFont="1" applyFill="1" applyBorder="1" applyAlignment="1" applyProtection="1">
      <alignment horizontal="left" vertical="center" wrapText="1"/>
    </xf>
    <xf numFmtId="164" fontId="41" fillId="24" borderId="18" xfId="166" applyNumberFormat="1" applyFont="1" applyFill="1" applyBorder="1" applyAlignment="1" applyProtection="1">
      <alignment horizontal="right" vertical="center"/>
    </xf>
    <xf numFmtId="4" fontId="41" fillId="24" borderId="18" xfId="241" applyNumberFormat="1" applyFont="1" applyFill="1" applyBorder="1" applyAlignment="1" applyProtection="1">
      <alignment horizontal="right" vertical="center"/>
    </xf>
    <xf numFmtId="164" fontId="41" fillId="27" borderId="18" xfId="166" applyNumberFormat="1" applyFont="1" applyFill="1" applyBorder="1" applyAlignment="1" applyProtection="1">
      <alignment horizontal="right" vertical="center"/>
    </xf>
    <xf numFmtId="0" fontId="41" fillId="27" borderId="19" xfId="156" applyFont="1" applyFill="1" applyBorder="1" applyAlignment="1" applyProtection="1">
      <alignment vertical="center"/>
    </xf>
    <xf numFmtId="4" fontId="41" fillId="27" borderId="19" xfId="156" applyNumberFormat="1" applyFont="1" applyFill="1" applyBorder="1" applyAlignment="1" applyProtection="1">
      <alignment horizontal="right" vertical="center"/>
    </xf>
    <xf numFmtId="10" fontId="42" fillId="0" borderId="19" xfId="174" applyNumberFormat="1" applyFont="1" applyFill="1" applyBorder="1" applyAlignment="1" applyProtection="1">
      <alignment horizontal="right" vertical="center"/>
    </xf>
    <xf numFmtId="4" fontId="42" fillId="0" borderId="19" xfId="174" applyNumberFormat="1" applyFont="1" applyFill="1" applyBorder="1" applyAlignment="1" applyProtection="1">
      <alignment horizontal="right" vertical="center"/>
    </xf>
    <xf numFmtId="10" fontId="41" fillId="27" borderId="18" xfId="187" quotePrefix="1" applyNumberFormat="1" applyFont="1" applyFill="1" applyBorder="1" applyAlignment="1" applyProtection="1">
      <alignment vertical="center"/>
    </xf>
    <xf numFmtId="4" fontId="41" fillId="27" borderId="18" xfId="187" applyNumberFormat="1" applyFont="1" applyFill="1" applyBorder="1" applyAlignment="1" applyProtection="1">
      <alignment horizontal="right" vertical="center"/>
    </xf>
    <xf numFmtId="0" fontId="41" fillId="0" borderId="19" xfId="156" applyFont="1" applyFill="1" applyBorder="1" applyAlignment="1" applyProtection="1">
      <alignment horizontal="left" vertical="center" wrapText="1"/>
    </xf>
    <xf numFmtId="167" fontId="41" fillId="0" borderId="19" xfId="156" applyNumberFormat="1" applyFont="1" applyFill="1" applyBorder="1" applyAlignment="1" applyProtection="1">
      <alignment horizontal="right" vertical="center"/>
    </xf>
    <xf numFmtId="2" fontId="41" fillId="0" borderId="19" xfId="187" applyNumberFormat="1" applyFont="1" applyFill="1" applyBorder="1" applyAlignment="1" applyProtection="1">
      <alignment vertical="center"/>
    </xf>
    <xf numFmtId="4" fontId="41" fillId="0" borderId="19" xfId="187" applyNumberFormat="1" applyFont="1" applyFill="1" applyBorder="1" applyAlignment="1" applyProtection="1">
      <alignment horizontal="right" vertical="center"/>
    </xf>
    <xf numFmtId="4" fontId="41" fillId="27" borderId="19" xfId="244" applyNumberFormat="1" applyFont="1" applyFill="1" applyBorder="1" applyAlignment="1" applyProtection="1">
      <alignment horizontal="right" vertical="center"/>
    </xf>
    <xf numFmtId="0" fontId="42" fillId="0" borderId="19" xfId="156" applyFont="1" applyFill="1" applyBorder="1" applyAlignment="1" applyProtection="1">
      <alignment horizontal="left" vertical="center" wrapText="1"/>
    </xf>
    <xf numFmtId="10" fontId="42" fillId="0" borderId="19" xfId="156" applyNumberFormat="1" applyFont="1" applyFill="1" applyBorder="1" applyAlignment="1" applyProtection="1">
      <alignment horizontal="center" vertical="center" wrapText="1"/>
    </xf>
    <xf numFmtId="10" fontId="42" fillId="30" borderId="19" xfId="244" applyNumberFormat="1" applyFont="1" applyFill="1" applyBorder="1" applyAlignment="1" applyProtection="1">
      <alignment horizontal="right" vertical="center"/>
    </xf>
    <xf numFmtId="4" fontId="42" fillId="0" borderId="19" xfId="244" applyNumberFormat="1" applyFont="1" applyFill="1" applyBorder="1" applyAlignment="1" applyProtection="1">
      <alignment horizontal="right" vertical="center"/>
    </xf>
    <xf numFmtId="10" fontId="41" fillId="27" borderId="18" xfId="187" quotePrefix="1" applyNumberFormat="1" applyFont="1" applyFill="1" applyBorder="1" applyAlignment="1" applyProtection="1">
      <alignment horizontal="right" vertical="center"/>
    </xf>
    <xf numFmtId="4" fontId="41" fillId="27" borderId="18" xfId="156" applyNumberFormat="1" applyFont="1" applyFill="1" applyBorder="1" applyAlignment="1" applyProtection="1">
      <alignment vertical="center"/>
    </xf>
    <xf numFmtId="0" fontId="41" fillId="26" borderId="18" xfId="156" applyFont="1" applyFill="1" applyBorder="1" applyAlignment="1" applyProtection="1">
      <alignment horizontal="left" vertical="center" wrapText="1"/>
    </xf>
    <xf numFmtId="4" fontId="41" fillId="26" borderId="18" xfId="156" applyNumberFormat="1" applyFont="1" applyFill="1" applyBorder="1" applyAlignment="1" applyProtection="1">
      <alignment vertical="center"/>
    </xf>
    <xf numFmtId="4" fontId="41" fillId="26" borderId="18" xfId="244" applyNumberFormat="1" applyFont="1" applyFill="1" applyBorder="1" applyAlignment="1" applyProtection="1">
      <alignment horizontal="right" vertical="center"/>
    </xf>
    <xf numFmtId="0" fontId="41" fillId="26" borderId="18" xfId="244" applyFont="1" applyFill="1" applyBorder="1" applyAlignment="1" applyProtection="1">
      <alignment horizontal="left" vertical="center" wrapText="1"/>
    </xf>
    <xf numFmtId="0" fontId="41" fillId="26" borderId="18" xfId="244" applyFont="1" applyFill="1" applyBorder="1" applyAlignment="1" applyProtection="1">
      <alignment horizontal="center" vertical="center" wrapText="1"/>
    </xf>
    <xf numFmtId="167" fontId="41" fillId="26" borderId="18" xfId="244" quotePrefix="1" applyNumberFormat="1" applyFont="1" applyFill="1" applyBorder="1" applyAlignment="1" applyProtection="1">
      <alignment horizontal="center" vertical="center" wrapText="1"/>
    </xf>
    <xf numFmtId="4" fontId="42" fillId="24" borderId="18" xfId="239" applyNumberFormat="1" applyFont="1" applyFill="1" applyBorder="1" applyAlignment="1" applyProtection="1">
      <alignment horizontal="right" vertical="center"/>
    </xf>
    <xf numFmtId="4" fontId="46" fillId="24" borderId="18" xfId="0" applyNumberFormat="1" applyFont="1" applyFill="1" applyBorder="1" applyAlignment="1" applyProtection="1">
      <alignment horizontal="left" vertical="center" wrapText="1"/>
    </xf>
    <xf numFmtId="0" fontId="46" fillId="24" borderId="18" xfId="0" applyFont="1" applyFill="1" applyBorder="1" applyAlignment="1" applyProtection="1">
      <alignment horizontal="center" vertical="center" wrapText="1"/>
    </xf>
    <xf numFmtId="164" fontId="2" fillId="24" borderId="18" xfId="239" applyFont="1" applyFill="1" applyBorder="1" applyAlignment="1" applyProtection="1">
      <alignment horizontal="center" vertical="center" wrapText="1"/>
    </xf>
    <xf numFmtId="4" fontId="2" fillId="24" borderId="18" xfId="239" applyNumberFormat="1" applyFont="1" applyFill="1" applyBorder="1" applyAlignment="1" applyProtection="1">
      <alignment horizontal="right" vertical="center"/>
    </xf>
    <xf numFmtId="0" fontId="2" fillId="24" borderId="18" xfId="239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4" fontId="2" fillId="24" borderId="18" xfId="239" applyNumberFormat="1" applyFont="1" applyFill="1" applyBorder="1" applyAlignment="1" applyProtection="1">
      <alignment wrapText="1"/>
    </xf>
    <xf numFmtId="4" fontId="2" fillId="24" borderId="18" xfId="239" applyNumberFormat="1" applyFont="1" applyFill="1" applyBorder="1" applyAlignment="1" applyProtection="1">
      <alignment vertical="center" wrapText="1"/>
    </xf>
    <xf numFmtId="4" fontId="46" fillId="24" borderId="18" xfId="239" applyNumberFormat="1" applyFont="1" applyFill="1" applyBorder="1" applyAlignment="1" applyProtection="1">
      <alignment horizontal="right" vertical="center"/>
    </xf>
    <xf numFmtId="0" fontId="41" fillId="24" borderId="18" xfId="0" applyFont="1" applyFill="1" applyBorder="1" applyAlignment="1" applyProtection="1">
      <alignment vertical="center"/>
    </xf>
    <xf numFmtId="4" fontId="41" fillId="24" borderId="18" xfId="239" applyNumberFormat="1" applyFont="1" applyFill="1" applyBorder="1" applyAlignment="1" applyProtection="1">
      <alignment vertical="center"/>
    </xf>
    <xf numFmtId="0" fontId="42" fillId="24" borderId="18" xfId="0" applyFont="1" applyFill="1" applyBorder="1" applyAlignment="1" applyProtection="1">
      <alignment horizontal="right" vertical="center"/>
    </xf>
    <xf numFmtId="10" fontId="42" fillId="24" borderId="18" xfId="0" applyNumberFormat="1" applyFont="1" applyFill="1" applyBorder="1" applyAlignment="1" applyProtection="1">
      <alignment vertical="center"/>
    </xf>
    <xf numFmtId="0" fontId="41" fillId="0" borderId="18" xfId="0" applyFont="1" applyBorder="1" applyAlignment="1" applyProtection="1">
      <alignment horizontal="left" vertical="center"/>
      <protection locked="0"/>
    </xf>
    <xf numFmtId="10" fontId="41" fillId="0" borderId="18" xfId="0" applyNumberFormat="1" applyFont="1" applyBorder="1" applyAlignment="1" applyProtection="1">
      <alignment vertical="center"/>
      <protection locked="0"/>
    </xf>
    <xf numFmtId="4" fontId="41" fillId="0" borderId="18" xfId="239" applyNumberFormat="1" applyFont="1" applyBorder="1" applyAlignment="1" applyProtection="1">
      <alignment horizontal="right" vertical="center"/>
      <protection locked="0"/>
    </xf>
    <xf numFmtId="0" fontId="42" fillId="0" borderId="18" xfId="0" applyFont="1" applyFill="1" applyBorder="1" applyAlignment="1" applyProtection="1">
      <alignment horizontal="right" vertical="center"/>
    </xf>
    <xf numFmtId="10" fontId="42" fillId="0" borderId="18" xfId="0" applyNumberFormat="1" applyFont="1" applyFill="1" applyBorder="1" applyAlignment="1" applyProtection="1">
      <alignment vertical="center"/>
    </xf>
    <xf numFmtId="4" fontId="42" fillId="0" borderId="18" xfId="239" applyNumberFormat="1" applyFont="1" applyBorder="1" applyAlignment="1" applyProtection="1">
      <alignment horizontal="right" vertical="center"/>
      <protection locked="0"/>
    </xf>
    <xf numFmtId="0" fontId="42" fillId="0" borderId="18" xfId="0" applyFont="1" applyBorder="1" applyAlignment="1" applyProtection="1">
      <alignment horizontal="right" vertical="center"/>
      <protection locked="0"/>
    </xf>
    <xf numFmtId="10" fontId="42" fillId="0" borderId="18" xfId="0" applyNumberFormat="1" applyFont="1" applyBorder="1" applyAlignment="1" applyProtection="1">
      <alignment vertical="center"/>
      <protection locked="0"/>
    </xf>
    <xf numFmtId="0" fontId="41" fillId="0" borderId="19" xfId="0" applyFont="1" applyBorder="1" applyAlignment="1" applyProtection="1">
      <alignment horizontal="left" vertical="center"/>
      <protection locked="0"/>
    </xf>
    <xf numFmtId="10" fontId="41" fillId="0" borderId="19" xfId="0" applyNumberFormat="1" applyFont="1" applyBorder="1" applyAlignment="1" applyProtection="1">
      <alignment vertical="center"/>
      <protection locked="0"/>
    </xf>
    <xf numFmtId="4" fontId="41" fillId="0" borderId="19" xfId="239" applyNumberFormat="1" applyFont="1" applyBorder="1" applyAlignment="1" applyProtection="1">
      <alignment horizontal="right" vertical="center"/>
      <protection locked="0"/>
    </xf>
    <xf numFmtId="0" fontId="2" fillId="0" borderId="0" xfId="155" applyFont="1"/>
    <xf numFmtId="0" fontId="41" fillId="27" borderId="18" xfId="156" applyFont="1" applyFill="1" applyBorder="1" applyAlignment="1" applyProtection="1">
      <alignment vertical="center" wrapText="1"/>
    </xf>
    <xf numFmtId="0" fontId="41" fillId="27" borderId="18" xfId="156" applyFont="1" applyFill="1" applyBorder="1" applyAlignment="1" applyProtection="1">
      <alignment horizontal="left" vertical="center" wrapText="1"/>
    </xf>
    <xf numFmtId="0" fontId="42" fillId="0" borderId="0" xfId="156" applyFont="1" applyFill="1" applyBorder="1" applyAlignment="1" applyProtection="1">
      <alignment vertical="center" wrapText="1"/>
    </xf>
    <xf numFmtId="0" fontId="42" fillId="0" borderId="12" xfId="156" applyFont="1" applyFill="1" applyBorder="1" applyAlignment="1" applyProtection="1">
      <alignment vertical="center" wrapText="1"/>
    </xf>
    <xf numFmtId="0" fontId="2" fillId="24" borderId="18" xfId="239" applyNumberFormat="1" applyFont="1" applyFill="1" applyBorder="1" applyAlignment="1" applyProtection="1">
      <alignment horizontal="center" vertical="center" wrapText="1"/>
    </xf>
    <xf numFmtId="169" fontId="2" fillId="24" borderId="18" xfId="239" applyNumberFormat="1" applyFont="1" applyFill="1" applyBorder="1" applyAlignment="1" applyProtection="1">
      <alignment horizontal="center" vertical="center" wrapText="1"/>
    </xf>
    <xf numFmtId="0" fontId="1" fillId="0" borderId="0" xfId="155" applyFont="1"/>
    <xf numFmtId="0" fontId="48" fillId="0" borderId="0" xfId="375" applyFont="1" applyAlignment="1" applyProtection="1">
      <alignment horizontal="left" vertical="center" wrapText="1"/>
      <protection locked="0"/>
    </xf>
    <xf numFmtId="0" fontId="47" fillId="0" borderId="18" xfId="375" applyFont="1" applyBorder="1" applyAlignment="1" applyProtection="1">
      <alignment horizontal="center" vertical="center" wrapText="1"/>
      <protection locked="0"/>
    </xf>
    <xf numFmtId="0" fontId="47" fillId="24" borderId="18" xfId="443" applyFont="1" applyFill="1" applyBorder="1" applyAlignment="1">
      <alignment horizontal="center" vertical="center" wrapText="1"/>
    </xf>
    <xf numFmtId="0" fontId="47" fillId="24" borderId="18" xfId="375" applyFont="1" applyFill="1" applyBorder="1" applyAlignment="1">
      <alignment horizontal="center" vertical="center" wrapText="1"/>
    </xf>
    <xf numFmtId="0" fontId="49" fillId="24" borderId="18" xfId="443" applyFont="1" applyFill="1" applyBorder="1" applyAlignment="1">
      <alignment horizontal="center" vertical="center" wrapText="1"/>
    </xf>
    <xf numFmtId="0" fontId="48" fillId="0" borderId="18" xfId="375" applyFont="1" applyBorder="1" applyAlignment="1" applyProtection="1">
      <alignment horizontal="center" vertical="center" wrapText="1"/>
      <protection locked="0"/>
    </xf>
    <xf numFmtId="2" fontId="48" fillId="0" borderId="18" xfId="443" applyNumberFormat="1" applyFont="1" applyBorder="1" applyAlignment="1">
      <alignment horizontal="left" vertical="center" wrapText="1"/>
    </xf>
    <xf numFmtId="0" fontId="48" fillId="0" borderId="18" xfId="443" applyFont="1" applyBorder="1" applyAlignment="1">
      <alignment horizontal="left" vertical="center" wrapText="1"/>
    </xf>
    <xf numFmtId="4" fontId="48" fillId="0" borderId="18" xfId="239" applyNumberFormat="1" applyFont="1" applyBorder="1" applyAlignment="1" applyProtection="1">
      <alignment horizontal="right" vertical="center"/>
    </xf>
    <xf numFmtId="0" fontId="48" fillId="0" borderId="18" xfId="239" applyNumberFormat="1" applyFont="1" applyBorder="1" applyAlignment="1" applyProtection="1">
      <alignment horizontal="center" vertical="center" wrapText="1"/>
    </xf>
    <xf numFmtId="4" fontId="50" fillId="25" borderId="18" xfId="239" applyNumberFormat="1" applyFont="1" applyFill="1" applyBorder="1" applyAlignment="1" applyProtection="1">
      <alignment horizontal="right" vertical="center"/>
    </xf>
    <xf numFmtId="0" fontId="48" fillId="0" borderId="0" xfId="375" applyFont="1" applyAlignment="1">
      <alignment horizontal="left" vertical="center" wrapText="1"/>
    </xf>
    <xf numFmtId="0" fontId="51" fillId="0" borderId="18" xfId="443" applyFont="1" applyBorder="1" applyAlignment="1">
      <alignment horizontal="left" vertical="center" wrapText="1"/>
    </xf>
    <xf numFmtId="0" fontId="52" fillId="0" borderId="18" xfId="443" applyFont="1" applyBorder="1" applyAlignment="1">
      <alignment horizontal="left" vertical="center" wrapText="1"/>
    </xf>
    <xf numFmtId="4" fontId="48" fillId="0" borderId="18" xfId="239" applyNumberFormat="1" applyFont="1" applyBorder="1" applyAlignment="1" applyProtection="1">
      <alignment horizontal="center" vertical="center"/>
    </xf>
    <xf numFmtId="0" fontId="47" fillId="25" borderId="18" xfId="375" applyFont="1" applyFill="1" applyBorder="1" applyAlignment="1">
      <alignment vertical="center"/>
    </xf>
    <xf numFmtId="4" fontId="47" fillId="25" borderId="18" xfId="375" applyNumberFormat="1" applyFont="1" applyFill="1" applyBorder="1" applyAlignment="1">
      <alignment horizontal="right" vertical="center"/>
    </xf>
    <xf numFmtId="0" fontId="41" fillId="27" borderId="18" xfId="156" applyFont="1" applyFill="1" applyBorder="1" applyAlignment="1" applyProtection="1">
      <alignment vertical="center" wrapText="1"/>
    </xf>
    <xf numFmtId="0" fontId="41" fillId="27" borderId="18" xfId="156" applyFont="1" applyFill="1" applyBorder="1" applyAlignment="1" applyProtection="1">
      <alignment horizontal="left" vertical="center" wrapText="1"/>
    </xf>
    <xf numFmtId="0" fontId="41" fillId="24" borderId="18" xfId="156" applyFont="1" applyFill="1" applyBorder="1" applyAlignment="1" applyProtection="1">
      <alignment horizontal="right" vertical="center"/>
    </xf>
    <xf numFmtId="0" fontId="2" fillId="0" borderId="18" xfId="155" applyFont="1" applyBorder="1" applyAlignment="1" applyProtection="1">
      <alignment vertical="center"/>
    </xf>
    <xf numFmtId="0" fontId="39" fillId="27" borderId="18" xfId="155" applyFont="1" applyFill="1" applyBorder="1" applyAlignment="1" applyProtection="1">
      <alignment vertical="center"/>
    </xf>
    <xf numFmtId="0" fontId="42" fillId="0" borderId="19" xfId="156" applyFont="1" applyFill="1" applyBorder="1" applyAlignment="1" applyProtection="1">
      <alignment horizontal="left" vertical="center"/>
    </xf>
    <xf numFmtId="0" fontId="42" fillId="0" borderId="0" xfId="156" applyFont="1" applyFill="1" applyBorder="1" applyAlignment="1" applyProtection="1">
      <alignment vertical="center" wrapText="1"/>
    </xf>
    <xf numFmtId="0" fontId="42" fillId="0" borderId="12" xfId="156" applyFont="1" applyFill="1" applyBorder="1" applyAlignment="1" applyProtection="1">
      <alignment vertical="center" wrapText="1"/>
    </xf>
    <xf numFmtId="0" fontId="42" fillId="0" borderId="18" xfId="156" applyFont="1" applyFill="1" applyBorder="1" applyAlignment="1" applyProtection="1">
      <alignment horizontal="left" vertical="center" wrapText="1"/>
    </xf>
    <xf numFmtId="0" fontId="42" fillId="24" borderId="19" xfId="156" applyFont="1" applyFill="1" applyBorder="1" applyAlignment="1" applyProtection="1">
      <alignment horizontal="justify" vertical="center" wrapText="1"/>
    </xf>
    <xf numFmtId="0" fontId="42" fillId="24" borderId="0" xfId="156" applyFont="1" applyFill="1" applyBorder="1" applyAlignment="1" applyProtection="1">
      <alignment horizontal="justify" vertical="center" wrapText="1"/>
    </xf>
    <xf numFmtId="0" fontId="42" fillId="24" borderId="12" xfId="156" applyFont="1" applyFill="1" applyBorder="1" applyAlignment="1" applyProtection="1">
      <alignment horizontal="left" vertical="center" wrapText="1"/>
    </xf>
    <xf numFmtId="0" fontId="42" fillId="24" borderId="18" xfId="156" applyFont="1" applyFill="1" applyBorder="1" applyAlignment="1" applyProtection="1">
      <alignment vertical="center" wrapText="1"/>
    </xf>
    <xf numFmtId="0" fontId="41" fillId="0" borderId="12" xfId="156" applyFont="1" applyFill="1" applyBorder="1" applyAlignment="1" applyProtection="1">
      <alignment horizontal="center" vertical="center"/>
    </xf>
    <xf numFmtId="0" fontId="41" fillId="29" borderId="18" xfId="156" applyFont="1" applyFill="1" applyBorder="1" applyAlignment="1" applyProtection="1">
      <alignment horizontal="center" vertical="center"/>
      <protection locked="0"/>
    </xf>
    <xf numFmtId="0" fontId="41" fillId="27" borderId="18" xfId="156" applyFont="1" applyFill="1" applyBorder="1" applyAlignment="1" applyProtection="1">
      <alignment vertical="center"/>
    </xf>
    <xf numFmtId="0" fontId="42" fillId="24" borderId="12" xfId="156" applyFont="1" applyFill="1" applyBorder="1" applyAlignment="1" applyProtection="1">
      <alignment vertical="center" wrapText="1"/>
    </xf>
    <xf numFmtId="0" fontId="47" fillId="25" borderId="18" xfId="375" applyFont="1" applyFill="1" applyBorder="1" applyAlignment="1">
      <alignment vertical="center"/>
    </xf>
    <xf numFmtId="0" fontId="47" fillId="25" borderId="18" xfId="375" applyFont="1" applyFill="1" applyBorder="1" applyAlignment="1">
      <alignment horizontal="center" vertical="center" wrapText="1"/>
    </xf>
    <xf numFmtId="0" fontId="50" fillId="25" borderId="18" xfId="443" applyFont="1" applyFill="1" applyBorder="1" applyAlignment="1">
      <alignment horizontal="left" vertical="center" wrapText="1"/>
    </xf>
    <xf numFmtId="0" fontId="48" fillId="0" borderId="0" xfId="375" applyFont="1" applyAlignment="1">
      <alignment horizontal="center" vertical="center" wrapText="1"/>
    </xf>
    <xf numFmtId="0" fontId="48" fillId="0" borderId="0" xfId="375" applyFont="1" applyAlignment="1">
      <alignment horizontal="left" vertical="center" wrapText="1"/>
    </xf>
    <xf numFmtId="0" fontId="43" fillId="25" borderId="11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28" borderId="11" xfId="0" applyFont="1" applyFill="1" applyBorder="1" applyAlignment="1" applyProtection="1">
      <alignment horizontal="center" vertical="center"/>
    </xf>
    <xf numFmtId="0" fontId="41" fillId="25" borderId="11" xfId="0" applyFont="1" applyFill="1" applyBorder="1" applyAlignment="1" applyProtection="1">
      <alignment horizontal="center" vertical="center"/>
    </xf>
    <xf numFmtId="0" fontId="41" fillId="0" borderId="12" xfId="0" applyFont="1" applyBorder="1" applyAlignment="1" applyProtection="1">
      <alignment horizontal="left" vertical="center"/>
    </xf>
    <xf numFmtId="0" fontId="41" fillId="28" borderId="18" xfId="0" applyFont="1" applyFill="1" applyBorder="1" applyAlignment="1" applyProtection="1">
      <alignment horizontal="center" vertical="center"/>
    </xf>
  </cellXfs>
  <cellStyles count="444">
    <cellStyle name="20% - Ênfase1 2" xfId="1" xr:uid="{00000000-0005-0000-0000-000000000000}"/>
    <cellStyle name="20% - Ênfase1 2 2" xfId="2" xr:uid="{00000000-0005-0000-0000-000001000000}"/>
    <cellStyle name="20% - Ênfase1 3" xfId="3" xr:uid="{00000000-0005-0000-0000-000002000000}"/>
    <cellStyle name="20% - Ênfase1 3 2" xfId="4" xr:uid="{00000000-0005-0000-0000-000003000000}"/>
    <cellStyle name="20% - Ênfase2 2" xfId="5" xr:uid="{00000000-0005-0000-0000-000004000000}"/>
    <cellStyle name="20% - Ênfase2 2 2" xfId="6" xr:uid="{00000000-0005-0000-0000-000005000000}"/>
    <cellStyle name="20% - Ênfase2 3" xfId="7" xr:uid="{00000000-0005-0000-0000-000006000000}"/>
    <cellStyle name="20% - Ênfase2 3 2" xfId="8" xr:uid="{00000000-0005-0000-0000-000007000000}"/>
    <cellStyle name="20% - Ênfase3 2" xfId="9" xr:uid="{00000000-0005-0000-0000-000008000000}"/>
    <cellStyle name="20% - Ênfase3 2 2" xfId="10" xr:uid="{00000000-0005-0000-0000-000009000000}"/>
    <cellStyle name="20% - Ênfase3 3" xfId="11" xr:uid="{00000000-0005-0000-0000-00000A000000}"/>
    <cellStyle name="20% - Ênfase3 3 2" xfId="12" xr:uid="{00000000-0005-0000-0000-00000B000000}"/>
    <cellStyle name="20% - Ênfase4 2" xfId="13" xr:uid="{00000000-0005-0000-0000-00000C000000}"/>
    <cellStyle name="20% - Ênfase4 2 2" xfId="14" xr:uid="{00000000-0005-0000-0000-00000D000000}"/>
    <cellStyle name="20% - Ênfase4 3" xfId="15" xr:uid="{00000000-0005-0000-0000-00000E000000}"/>
    <cellStyle name="20% - Ênfase4 3 2" xfId="16" xr:uid="{00000000-0005-0000-0000-00000F000000}"/>
    <cellStyle name="20% - Ênfase5 2" xfId="17" xr:uid="{00000000-0005-0000-0000-000010000000}"/>
    <cellStyle name="20% - Ênfase5 2 2" xfId="18" xr:uid="{00000000-0005-0000-0000-000011000000}"/>
    <cellStyle name="20% - Ênfase5 3" xfId="19" xr:uid="{00000000-0005-0000-0000-000012000000}"/>
    <cellStyle name="20% - Ênfase5 3 2" xfId="20" xr:uid="{00000000-0005-0000-0000-000013000000}"/>
    <cellStyle name="20% - Ênfase6 2" xfId="21" xr:uid="{00000000-0005-0000-0000-000014000000}"/>
    <cellStyle name="20% - Ênfase6 2 2" xfId="22" xr:uid="{00000000-0005-0000-0000-000015000000}"/>
    <cellStyle name="20% - Ênfase6 3" xfId="23" xr:uid="{00000000-0005-0000-0000-000016000000}"/>
    <cellStyle name="20% - Ênfase6 3 2" xfId="24" xr:uid="{00000000-0005-0000-0000-000017000000}"/>
    <cellStyle name="40% - Ênfase1 2" xfId="25" xr:uid="{00000000-0005-0000-0000-000018000000}"/>
    <cellStyle name="40% - Ênfase1 2 2" xfId="26" xr:uid="{00000000-0005-0000-0000-000019000000}"/>
    <cellStyle name="40% - Ênfase1 3" xfId="27" xr:uid="{00000000-0005-0000-0000-00001A000000}"/>
    <cellStyle name="40% - Ênfase1 3 2" xfId="28" xr:uid="{00000000-0005-0000-0000-00001B000000}"/>
    <cellStyle name="40% - Ênfase2 2" xfId="29" xr:uid="{00000000-0005-0000-0000-00001C000000}"/>
    <cellStyle name="40% - Ênfase2 2 2" xfId="30" xr:uid="{00000000-0005-0000-0000-00001D000000}"/>
    <cellStyle name="40% - Ênfase2 3" xfId="31" xr:uid="{00000000-0005-0000-0000-00001E000000}"/>
    <cellStyle name="40% - Ênfase2 3 2" xfId="32" xr:uid="{00000000-0005-0000-0000-00001F000000}"/>
    <cellStyle name="40% - Ênfase3 2" xfId="33" xr:uid="{00000000-0005-0000-0000-000020000000}"/>
    <cellStyle name="40% - Ênfase3 2 2" xfId="34" xr:uid="{00000000-0005-0000-0000-000021000000}"/>
    <cellStyle name="40% - Ênfase3 3" xfId="35" xr:uid="{00000000-0005-0000-0000-000022000000}"/>
    <cellStyle name="40% - Ênfase3 3 2" xfId="36" xr:uid="{00000000-0005-0000-0000-000023000000}"/>
    <cellStyle name="40% - Ênfase4 2" xfId="37" xr:uid="{00000000-0005-0000-0000-000024000000}"/>
    <cellStyle name="40% - Ênfase4 2 2" xfId="38" xr:uid="{00000000-0005-0000-0000-000025000000}"/>
    <cellStyle name="40% - Ênfase4 3" xfId="39" xr:uid="{00000000-0005-0000-0000-000026000000}"/>
    <cellStyle name="40% - Ênfase4 3 2" xfId="40" xr:uid="{00000000-0005-0000-0000-000027000000}"/>
    <cellStyle name="40% - Ênfase5 2" xfId="41" xr:uid="{00000000-0005-0000-0000-000028000000}"/>
    <cellStyle name="40% - Ênfase5 2 2" xfId="42" xr:uid="{00000000-0005-0000-0000-000029000000}"/>
    <cellStyle name="40% - Ênfase5 3" xfId="43" xr:uid="{00000000-0005-0000-0000-00002A000000}"/>
    <cellStyle name="40% - Ênfase5 3 2" xfId="44" xr:uid="{00000000-0005-0000-0000-00002B000000}"/>
    <cellStyle name="40% - Ênfase6 2" xfId="45" xr:uid="{00000000-0005-0000-0000-00002C000000}"/>
    <cellStyle name="40% - Ênfase6 2 2" xfId="46" xr:uid="{00000000-0005-0000-0000-00002D000000}"/>
    <cellStyle name="40% - Ênfase6 3" xfId="47" xr:uid="{00000000-0005-0000-0000-00002E000000}"/>
    <cellStyle name="40% - Ênfase6 3 2" xfId="48" xr:uid="{00000000-0005-0000-0000-00002F000000}"/>
    <cellStyle name="60% - Ênfase1 2" xfId="49" xr:uid="{00000000-0005-0000-0000-000030000000}"/>
    <cellStyle name="60% - Ênfase1 2 2" xfId="50" xr:uid="{00000000-0005-0000-0000-000031000000}"/>
    <cellStyle name="60% - Ênfase1 3" xfId="51" xr:uid="{00000000-0005-0000-0000-000032000000}"/>
    <cellStyle name="60% - Ênfase1 3 2" xfId="52" xr:uid="{00000000-0005-0000-0000-000033000000}"/>
    <cellStyle name="60% - Ênfase2 2" xfId="53" xr:uid="{00000000-0005-0000-0000-000034000000}"/>
    <cellStyle name="60% - Ênfase2 2 2" xfId="54" xr:uid="{00000000-0005-0000-0000-000035000000}"/>
    <cellStyle name="60% - Ênfase2 3" xfId="55" xr:uid="{00000000-0005-0000-0000-000036000000}"/>
    <cellStyle name="60% - Ênfase2 3 2" xfId="56" xr:uid="{00000000-0005-0000-0000-000037000000}"/>
    <cellStyle name="60% - Ênfase3 2" xfId="57" xr:uid="{00000000-0005-0000-0000-000038000000}"/>
    <cellStyle name="60% - Ênfase3 2 2" xfId="58" xr:uid="{00000000-0005-0000-0000-000039000000}"/>
    <cellStyle name="60% - Ênfase3 3" xfId="59" xr:uid="{00000000-0005-0000-0000-00003A000000}"/>
    <cellStyle name="60% - Ênfase3 3 2" xfId="60" xr:uid="{00000000-0005-0000-0000-00003B000000}"/>
    <cellStyle name="60% - Ênfase4 2" xfId="61" xr:uid="{00000000-0005-0000-0000-00003C000000}"/>
    <cellStyle name="60% - Ênfase4 2 2" xfId="62" xr:uid="{00000000-0005-0000-0000-00003D000000}"/>
    <cellStyle name="60% - Ênfase4 3" xfId="63" xr:uid="{00000000-0005-0000-0000-00003E000000}"/>
    <cellStyle name="60% - Ênfase4 3 2" xfId="64" xr:uid="{00000000-0005-0000-0000-00003F000000}"/>
    <cellStyle name="60% - Ênfase5 2" xfId="65" xr:uid="{00000000-0005-0000-0000-000040000000}"/>
    <cellStyle name="60% - Ênfase5 2 2" xfId="66" xr:uid="{00000000-0005-0000-0000-000041000000}"/>
    <cellStyle name="60% - Ênfase5 3" xfId="67" xr:uid="{00000000-0005-0000-0000-000042000000}"/>
    <cellStyle name="60% - Ênfase5 3 2" xfId="68" xr:uid="{00000000-0005-0000-0000-000043000000}"/>
    <cellStyle name="60% - Ênfase6 2" xfId="69" xr:uid="{00000000-0005-0000-0000-000044000000}"/>
    <cellStyle name="60% - Ênfase6 2 2" xfId="70" xr:uid="{00000000-0005-0000-0000-000045000000}"/>
    <cellStyle name="60% - Ênfase6 3" xfId="71" xr:uid="{00000000-0005-0000-0000-000046000000}"/>
    <cellStyle name="60% - Ênfase6 3 2" xfId="72" xr:uid="{00000000-0005-0000-0000-000047000000}"/>
    <cellStyle name="Bom 2" xfId="73" xr:uid="{00000000-0005-0000-0000-000048000000}"/>
    <cellStyle name="Bom 2 2" xfId="74" xr:uid="{00000000-0005-0000-0000-000049000000}"/>
    <cellStyle name="Bom 3" xfId="75" xr:uid="{00000000-0005-0000-0000-00004A000000}"/>
    <cellStyle name="Bom 3 2" xfId="76" xr:uid="{00000000-0005-0000-0000-00004B000000}"/>
    <cellStyle name="Cálculo 2" xfId="77" xr:uid="{00000000-0005-0000-0000-00004C000000}"/>
    <cellStyle name="Cálculo 2 2" xfId="78" xr:uid="{00000000-0005-0000-0000-00004D000000}"/>
    <cellStyle name="Cálculo 2 2 2" xfId="340" xr:uid="{00000000-0005-0000-0000-00004E000000}"/>
    <cellStyle name="Cálculo 2 2 3" xfId="249" xr:uid="{00000000-0005-0000-0000-00004F000000}"/>
    <cellStyle name="Cálculo 2 3" xfId="339" xr:uid="{00000000-0005-0000-0000-000050000000}"/>
    <cellStyle name="Cálculo 2 4" xfId="248" xr:uid="{00000000-0005-0000-0000-000051000000}"/>
    <cellStyle name="Cálculo 3" xfId="79" xr:uid="{00000000-0005-0000-0000-000052000000}"/>
    <cellStyle name="Cálculo 3 2" xfId="80" xr:uid="{00000000-0005-0000-0000-000053000000}"/>
    <cellStyle name="Cálculo 3 2 2" xfId="342" xr:uid="{00000000-0005-0000-0000-000054000000}"/>
    <cellStyle name="Cálculo 3 2 3" xfId="251" xr:uid="{00000000-0005-0000-0000-000055000000}"/>
    <cellStyle name="Cálculo 3 3" xfId="341" xr:uid="{00000000-0005-0000-0000-000056000000}"/>
    <cellStyle name="Cálculo 3 4" xfId="250" xr:uid="{00000000-0005-0000-0000-000057000000}"/>
    <cellStyle name="Cancel" xfId="81" xr:uid="{00000000-0005-0000-0000-000058000000}"/>
    <cellStyle name="Cancel 2" xfId="82" xr:uid="{00000000-0005-0000-0000-000059000000}"/>
    <cellStyle name="Cancel 3" xfId="83" xr:uid="{00000000-0005-0000-0000-00005A000000}"/>
    <cellStyle name="Célula de Verificação 2" xfId="84" xr:uid="{00000000-0005-0000-0000-00005B000000}"/>
    <cellStyle name="Célula de Verificação 2 2" xfId="85" xr:uid="{00000000-0005-0000-0000-00005C000000}"/>
    <cellStyle name="Célula de Verificação 3" xfId="86" xr:uid="{00000000-0005-0000-0000-00005D000000}"/>
    <cellStyle name="Célula de Verificação 3 2" xfId="87" xr:uid="{00000000-0005-0000-0000-00005E000000}"/>
    <cellStyle name="Célula Vinculada 2" xfId="88" xr:uid="{00000000-0005-0000-0000-00005F000000}"/>
    <cellStyle name="Célula Vinculada 2 2" xfId="89" xr:uid="{00000000-0005-0000-0000-000060000000}"/>
    <cellStyle name="Célula Vinculada 3" xfId="90" xr:uid="{00000000-0005-0000-0000-000061000000}"/>
    <cellStyle name="Célula Vinculada 3 2" xfId="91" xr:uid="{00000000-0005-0000-0000-000062000000}"/>
    <cellStyle name="Ênfase1 2" xfId="92" xr:uid="{00000000-0005-0000-0000-000063000000}"/>
    <cellStyle name="Ênfase1 2 2" xfId="93" xr:uid="{00000000-0005-0000-0000-000064000000}"/>
    <cellStyle name="Ênfase1 3" xfId="94" xr:uid="{00000000-0005-0000-0000-000065000000}"/>
    <cellStyle name="Ênfase1 3 2" xfId="95" xr:uid="{00000000-0005-0000-0000-000066000000}"/>
    <cellStyle name="Ênfase2 2" xfId="96" xr:uid="{00000000-0005-0000-0000-000067000000}"/>
    <cellStyle name="Ênfase2 2 2" xfId="97" xr:uid="{00000000-0005-0000-0000-000068000000}"/>
    <cellStyle name="Ênfase2 3" xfId="98" xr:uid="{00000000-0005-0000-0000-000069000000}"/>
    <cellStyle name="Ênfase2 3 2" xfId="99" xr:uid="{00000000-0005-0000-0000-00006A000000}"/>
    <cellStyle name="Ênfase3 2" xfId="100" xr:uid="{00000000-0005-0000-0000-00006B000000}"/>
    <cellStyle name="Ênfase3 2 2" xfId="101" xr:uid="{00000000-0005-0000-0000-00006C000000}"/>
    <cellStyle name="Ênfase3 3" xfId="102" xr:uid="{00000000-0005-0000-0000-00006D000000}"/>
    <cellStyle name="Ênfase3 3 2" xfId="103" xr:uid="{00000000-0005-0000-0000-00006E000000}"/>
    <cellStyle name="Ênfase4 2" xfId="104" xr:uid="{00000000-0005-0000-0000-00006F000000}"/>
    <cellStyle name="Ênfase4 2 2" xfId="105" xr:uid="{00000000-0005-0000-0000-000070000000}"/>
    <cellStyle name="Ênfase4 3" xfId="106" xr:uid="{00000000-0005-0000-0000-000071000000}"/>
    <cellStyle name="Ênfase4 3 2" xfId="107" xr:uid="{00000000-0005-0000-0000-000072000000}"/>
    <cellStyle name="Ênfase5 2" xfId="108" xr:uid="{00000000-0005-0000-0000-000073000000}"/>
    <cellStyle name="Ênfase5 2 2" xfId="109" xr:uid="{00000000-0005-0000-0000-000074000000}"/>
    <cellStyle name="Ênfase5 3" xfId="110" xr:uid="{00000000-0005-0000-0000-000075000000}"/>
    <cellStyle name="Ênfase5 3 2" xfId="111" xr:uid="{00000000-0005-0000-0000-000076000000}"/>
    <cellStyle name="Ênfase6 2" xfId="112" xr:uid="{00000000-0005-0000-0000-000077000000}"/>
    <cellStyle name="Ênfase6 2 2" xfId="113" xr:uid="{00000000-0005-0000-0000-000078000000}"/>
    <cellStyle name="Ênfase6 3" xfId="114" xr:uid="{00000000-0005-0000-0000-000079000000}"/>
    <cellStyle name="Ênfase6 3 2" xfId="115" xr:uid="{00000000-0005-0000-0000-00007A000000}"/>
    <cellStyle name="Entrada 2" xfId="116" xr:uid="{00000000-0005-0000-0000-00007B000000}"/>
    <cellStyle name="Entrada 2 2" xfId="117" xr:uid="{00000000-0005-0000-0000-00007C000000}"/>
    <cellStyle name="Entrada 2 2 2" xfId="344" xr:uid="{00000000-0005-0000-0000-00007D000000}"/>
    <cellStyle name="Entrada 2 2 3" xfId="253" xr:uid="{00000000-0005-0000-0000-00007E000000}"/>
    <cellStyle name="Entrada 2 3" xfId="343" xr:uid="{00000000-0005-0000-0000-00007F000000}"/>
    <cellStyle name="Entrada 2 4" xfId="252" xr:uid="{00000000-0005-0000-0000-000080000000}"/>
    <cellStyle name="Entrada 3" xfId="118" xr:uid="{00000000-0005-0000-0000-000081000000}"/>
    <cellStyle name="Entrada 3 2" xfId="119" xr:uid="{00000000-0005-0000-0000-000082000000}"/>
    <cellStyle name="Entrada 3 2 2" xfId="346" xr:uid="{00000000-0005-0000-0000-000083000000}"/>
    <cellStyle name="Entrada 3 2 3" xfId="255" xr:uid="{00000000-0005-0000-0000-000084000000}"/>
    <cellStyle name="Entrada 3 3" xfId="345" xr:uid="{00000000-0005-0000-0000-000085000000}"/>
    <cellStyle name="Entrada 3 4" xfId="254" xr:uid="{00000000-0005-0000-0000-000086000000}"/>
    <cellStyle name="Hyperlink 2" xfId="120" xr:uid="{00000000-0005-0000-0000-000088000000}"/>
    <cellStyle name="Incorreto 2" xfId="121" xr:uid="{00000000-0005-0000-0000-000089000000}"/>
    <cellStyle name="Incorreto 2 2" xfId="122" xr:uid="{00000000-0005-0000-0000-00008A000000}"/>
    <cellStyle name="Incorreto 3" xfId="123" xr:uid="{00000000-0005-0000-0000-00008B000000}"/>
    <cellStyle name="Incorreto 3 2" xfId="124" xr:uid="{00000000-0005-0000-0000-00008C000000}"/>
    <cellStyle name="Moeda 10" xfId="125" xr:uid="{00000000-0005-0000-0000-00008D000000}"/>
    <cellStyle name="Moeda 10 2" xfId="126" xr:uid="{00000000-0005-0000-0000-00008E000000}"/>
    <cellStyle name="Moeda 10 2 2" xfId="348" xr:uid="{00000000-0005-0000-0000-00008F000000}"/>
    <cellStyle name="Moeda 10 2 3" xfId="257" xr:uid="{00000000-0005-0000-0000-000090000000}"/>
    <cellStyle name="Moeda 10 3" xfId="347" xr:uid="{00000000-0005-0000-0000-000091000000}"/>
    <cellStyle name="Moeda 10 4" xfId="256" xr:uid="{00000000-0005-0000-0000-000092000000}"/>
    <cellStyle name="Moeda 11" xfId="127" xr:uid="{00000000-0005-0000-0000-000093000000}"/>
    <cellStyle name="Moeda 11 2" xfId="128" xr:uid="{00000000-0005-0000-0000-000094000000}"/>
    <cellStyle name="Moeda 11 2 2" xfId="350" xr:uid="{00000000-0005-0000-0000-000095000000}"/>
    <cellStyle name="Moeda 11 2 3" xfId="259" xr:uid="{00000000-0005-0000-0000-000096000000}"/>
    <cellStyle name="Moeda 11 3" xfId="349" xr:uid="{00000000-0005-0000-0000-000097000000}"/>
    <cellStyle name="Moeda 11 4" xfId="258" xr:uid="{00000000-0005-0000-0000-000098000000}"/>
    <cellStyle name="Moeda 12" xfId="129" xr:uid="{00000000-0005-0000-0000-000099000000}"/>
    <cellStyle name="Moeda 12 2" xfId="351" xr:uid="{00000000-0005-0000-0000-00009A000000}"/>
    <cellStyle name="Moeda 12 3" xfId="260" xr:uid="{00000000-0005-0000-0000-00009B000000}"/>
    <cellStyle name="Moeda 13" xfId="130" xr:uid="{00000000-0005-0000-0000-00009C000000}"/>
    <cellStyle name="Moeda 13 2" xfId="352" xr:uid="{00000000-0005-0000-0000-00009D000000}"/>
    <cellStyle name="Moeda 13 3" xfId="261" xr:uid="{00000000-0005-0000-0000-00009E000000}"/>
    <cellStyle name="Moeda 14" xfId="438" xr:uid="{00000000-0005-0000-0000-00009F000000}"/>
    <cellStyle name="Moeda 2" xfId="131" xr:uid="{00000000-0005-0000-0000-0000A0000000}"/>
    <cellStyle name="Moeda 2 2" xfId="132" xr:uid="{00000000-0005-0000-0000-0000A1000000}"/>
    <cellStyle name="Moeda 2 2 2" xfId="133" xr:uid="{00000000-0005-0000-0000-0000A2000000}"/>
    <cellStyle name="Moeda 2 2 2 2" xfId="355" xr:uid="{00000000-0005-0000-0000-0000A3000000}"/>
    <cellStyle name="Moeda 2 2 2 3" xfId="264" xr:uid="{00000000-0005-0000-0000-0000A4000000}"/>
    <cellStyle name="Moeda 2 2 3" xfId="354" xr:uid="{00000000-0005-0000-0000-0000A5000000}"/>
    <cellStyle name="Moeda 2 2 4" xfId="263" xr:uid="{00000000-0005-0000-0000-0000A6000000}"/>
    <cellStyle name="Moeda 2 3" xfId="134" xr:uid="{00000000-0005-0000-0000-0000A7000000}"/>
    <cellStyle name="Moeda 2 3 2" xfId="356" xr:uid="{00000000-0005-0000-0000-0000A8000000}"/>
    <cellStyle name="Moeda 2 3 3" xfId="265" xr:uid="{00000000-0005-0000-0000-0000A9000000}"/>
    <cellStyle name="Moeda 2 4" xfId="135" xr:uid="{00000000-0005-0000-0000-0000AA000000}"/>
    <cellStyle name="Moeda 2 4 2" xfId="357" xr:uid="{00000000-0005-0000-0000-0000AB000000}"/>
    <cellStyle name="Moeda 2 4 3" xfId="266" xr:uid="{00000000-0005-0000-0000-0000AC000000}"/>
    <cellStyle name="Moeda 2 5" xfId="136" xr:uid="{00000000-0005-0000-0000-0000AD000000}"/>
    <cellStyle name="Moeda 2 5 2" xfId="358" xr:uid="{00000000-0005-0000-0000-0000AE000000}"/>
    <cellStyle name="Moeda 2 5 3" xfId="267" xr:uid="{00000000-0005-0000-0000-0000AF000000}"/>
    <cellStyle name="Moeda 2 6" xfId="353" xr:uid="{00000000-0005-0000-0000-0000B0000000}"/>
    <cellStyle name="Moeda 2 7" xfId="262" xr:uid="{00000000-0005-0000-0000-0000B1000000}"/>
    <cellStyle name="Moeda 3" xfId="137" xr:uid="{00000000-0005-0000-0000-0000B2000000}"/>
    <cellStyle name="Moeda 3 2" xfId="138" xr:uid="{00000000-0005-0000-0000-0000B3000000}"/>
    <cellStyle name="Moeda 3 2 2" xfId="360" xr:uid="{00000000-0005-0000-0000-0000B4000000}"/>
    <cellStyle name="Moeda 3 2 3" xfId="269" xr:uid="{00000000-0005-0000-0000-0000B5000000}"/>
    <cellStyle name="Moeda 3 3" xfId="359" xr:uid="{00000000-0005-0000-0000-0000B6000000}"/>
    <cellStyle name="Moeda 3 4" xfId="268" xr:uid="{00000000-0005-0000-0000-0000B7000000}"/>
    <cellStyle name="Moeda 4" xfId="139" xr:uid="{00000000-0005-0000-0000-0000B8000000}"/>
    <cellStyle name="Moeda 4 2" xfId="361" xr:uid="{00000000-0005-0000-0000-0000B9000000}"/>
    <cellStyle name="Moeda 4 3" xfId="270" xr:uid="{00000000-0005-0000-0000-0000BA000000}"/>
    <cellStyle name="Moeda 5" xfId="140" xr:uid="{00000000-0005-0000-0000-0000BB000000}"/>
    <cellStyle name="Moeda 5 2" xfId="362" xr:uid="{00000000-0005-0000-0000-0000BC000000}"/>
    <cellStyle name="Moeda 5 3" xfId="271" xr:uid="{00000000-0005-0000-0000-0000BD000000}"/>
    <cellStyle name="Moeda 6" xfId="141" xr:uid="{00000000-0005-0000-0000-0000BE000000}"/>
    <cellStyle name="Moeda 6 2" xfId="363" xr:uid="{00000000-0005-0000-0000-0000BF000000}"/>
    <cellStyle name="Moeda 6 3" xfId="272" xr:uid="{00000000-0005-0000-0000-0000C0000000}"/>
    <cellStyle name="Moeda 7" xfId="142" xr:uid="{00000000-0005-0000-0000-0000C1000000}"/>
    <cellStyle name="Moeda 7 2" xfId="143" xr:uid="{00000000-0005-0000-0000-0000C2000000}"/>
    <cellStyle name="Moeda 7 2 2" xfId="144" xr:uid="{00000000-0005-0000-0000-0000C3000000}"/>
    <cellStyle name="Moeda 7 2 2 2" xfId="365" xr:uid="{00000000-0005-0000-0000-0000C4000000}"/>
    <cellStyle name="Moeda 7 2 2 3" xfId="274" xr:uid="{00000000-0005-0000-0000-0000C5000000}"/>
    <cellStyle name="Moeda 7 2 3" xfId="145" xr:uid="{00000000-0005-0000-0000-0000C6000000}"/>
    <cellStyle name="Moeda 7 2 3 2" xfId="366" xr:uid="{00000000-0005-0000-0000-0000C7000000}"/>
    <cellStyle name="Moeda 7 2 3 3" xfId="275" xr:uid="{00000000-0005-0000-0000-0000C8000000}"/>
    <cellStyle name="Moeda 7 2 4" xfId="364" xr:uid="{00000000-0005-0000-0000-0000C9000000}"/>
    <cellStyle name="Moeda 7 2 5" xfId="273" xr:uid="{00000000-0005-0000-0000-0000CA000000}"/>
    <cellStyle name="Moeda 7 3" xfId="146" xr:uid="{00000000-0005-0000-0000-0000CB000000}"/>
    <cellStyle name="Moeda 7 3 2" xfId="367" xr:uid="{00000000-0005-0000-0000-0000CC000000}"/>
    <cellStyle name="Moeda 7 3 3" xfId="276" xr:uid="{00000000-0005-0000-0000-0000CD000000}"/>
    <cellStyle name="Moeda 8" xfId="147" xr:uid="{00000000-0005-0000-0000-0000CE000000}"/>
    <cellStyle name="Moeda 8 2" xfId="148" xr:uid="{00000000-0005-0000-0000-0000CF000000}"/>
    <cellStyle name="Moeda 8 2 2" xfId="369" xr:uid="{00000000-0005-0000-0000-0000D0000000}"/>
    <cellStyle name="Moeda 8 2 3" xfId="278" xr:uid="{00000000-0005-0000-0000-0000D1000000}"/>
    <cellStyle name="Moeda 8 3" xfId="368" xr:uid="{00000000-0005-0000-0000-0000D2000000}"/>
    <cellStyle name="Moeda 8 4" xfId="277" xr:uid="{00000000-0005-0000-0000-0000D3000000}"/>
    <cellStyle name="Moeda 9" xfId="149" xr:uid="{00000000-0005-0000-0000-0000D4000000}"/>
    <cellStyle name="Moeda 9 2" xfId="150" xr:uid="{00000000-0005-0000-0000-0000D5000000}"/>
    <cellStyle name="Moeda 9 2 2" xfId="371" xr:uid="{00000000-0005-0000-0000-0000D6000000}"/>
    <cellStyle name="Moeda 9 2 3" xfId="280" xr:uid="{00000000-0005-0000-0000-0000D7000000}"/>
    <cellStyle name="Moeda 9 3" xfId="370" xr:uid="{00000000-0005-0000-0000-0000D8000000}"/>
    <cellStyle name="Moeda 9 4" xfId="279" xr:uid="{00000000-0005-0000-0000-0000D9000000}"/>
    <cellStyle name="Neutra 2" xfId="151" xr:uid="{00000000-0005-0000-0000-0000DA000000}"/>
    <cellStyle name="Neutra 2 2" xfId="152" xr:uid="{00000000-0005-0000-0000-0000DB000000}"/>
    <cellStyle name="Neutra 3" xfId="153" xr:uid="{00000000-0005-0000-0000-0000DC000000}"/>
    <cellStyle name="Neutra 3 2" xfId="154" xr:uid="{00000000-0005-0000-0000-0000DD000000}"/>
    <cellStyle name="Normal" xfId="0" builtinId="0"/>
    <cellStyle name="Normal 2" xfId="155" xr:uid="{00000000-0005-0000-0000-0000DF000000}"/>
    <cellStyle name="Normal 2 10" xfId="441" xr:uid="{C4D7CCCA-72BD-4975-AFE7-FACBB071233A}"/>
    <cellStyle name="Normal 2 11" xfId="442" xr:uid="{BF68893C-23F4-4993-A7D4-A0FD6911BB44}"/>
    <cellStyle name="Normal 2 12" xfId="443" xr:uid="{3D75792D-131F-40E5-A669-1E91950641E2}"/>
    <cellStyle name="Normal 2 2" xfId="156" xr:uid="{00000000-0005-0000-0000-0000E0000000}"/>
    <cellStyle name="Normal 2 2 2" xfId="244" xr:uid="{00000000-0005-0000-0000-0000E1000000}"/>
    <cellStyle name="Normal 2 3" xfId="245" xr:uid="{00000000-0005-0000-0000-0000E2000000}"/>
    <cellStyle name="Normal 2 3 2" xfId="424" xr:uid="{00000000-0005-0000-0000-0000E3000000}"/>
    <cellStyle name="Normal 2 3 3" xfId="337" xr:uid="{00000000-0005-0000-0000-0000E4000000}"/>
    <cellStyle name="Normal 2 4" xfId="427" xr:uid="{00000000-0005-0000-0000-0000E5000000}"/>
    <cellStyle name="Normal 2 5" xfId="431" xr:uid="{00000000-0005-0000-0000-0000E6000000}"/>
    <cellStyle name="Normal 2 6" xfId="434" xr:uid="{00000000-0005-0000-0000-0000E7000000}"/>
    <cellStyle name="Normal 2 7" xfId="372" xr:uid="{00000000-0005-0000-0000-0000E8000000}"/>
    <cellStyle name="Normal 2 8" xfId="281" xr:uid="{00000000-0005-0000-0000-0000E9000000}"/>
    <cellStyle name="Normal 2 9" xfId="439" xr:uid="{00BC6D6F-8721-457B-8EFD-6C724BC02D1F}"/>
    <cellStyle name="Normal 3" xfId="157" xr:uid="{00000000-0005-0000-0000-0000EA000000}"/>
    <cellStyle name="Normal 3 2" xfId="158" xr:uid="{00000000-0005-0000-0000-0000EB000000}"/>
    <cellStyle name="Normal 3 2 2" xfId="159" xr:uid="{00000000-0005-0000-0000-0000EC000000}"/>
    <cellStyle name="Normal 3 2 2 2" xfId="375" xr:uid="{00000000-0005-0000-0000-0000ED000000}"/>
    <cellStyle name="Normal 3 2 2 3" xfId="284" xr:uid="{00000000-0005-0000-0000-0000EE000000}"/>
    <cellStyle name="Normal 3 2 3" xfId="160" xr:uid="{00000000-0005-0000-0000-0000EF000000}"/>
    <cellStyle name="Normal 3 2 3 2" xfId="376" xr:uid="{00000000-0005-0000-0000-0000F0000000}"/>
    <cellStyle name="Normal 3 2 3 3" xfId="285" xr:uid="{00000000-0005-0000-0000-0000F1000000}"/>
    <cellStyle name="Normal 3 2 4" xfId="374" xr:uid="{00000000-0005-0000-0000-0000F2000000}"/>
    <cellStyle name="Normal 3 2 5" xfId="283" xr:uid="{00000000-0005-0000-0000-0000F3000000}"/>
    <cellStyle name="Normal 3 3" xfId="426" xr:uid="{00000000-0005-0000-0000-0000F4000000}"/>
    <cellStyle name="Normal 3 4" xfId="373" xr:uid="{00000000-0005-0000-0000-0000F5000000}"/>
    <cellStyle name="Normal 3 5" xfId="282" xr:uid="{00000000-0005-0000-0000-0000F6000000}"/>
    <cellStyle name="Normal 4" xfId="161" xr:uid="{00000000-0005-0000-0000-0000F7000000}"/>
    <cellStyle name="Normal 4 2" xfId="377" xr:uid="{00000000-0005-0000-0000-0000F8000000}"/>
    <cellStyle name="Normal 4 3" xfId="286" xr:uid="{00000000-0005-0000-0000-0000F9000000}"/>
    <cellStyle name="Normal 5" xfId="162" xr:uid="{00000000-0005-0000-0000-0000FA000000}"/>
    <cellStyle name="Normal 5 2" xfId="430" xr:uid="{00000000-0005-0000-0000-0000FB000000}"/>
    <cellStyle name="Normal 5 3" xfId="378" xr:uid="{00000000-0005-0000-0000-0000FC000000}"/>
    <cellStyle name="Normal 5 4" xfId="287" xr:uid="{00000000-0005-0000-0000-0000FD000000}"/>
    <cellStyle name="Normal 6 2" xfId="163" xr:uid="{00000000-0005-0000-0000-0000FE000000}"/>
    <cellStyle name="Normal 6 2 2" xfId="379" xr:uid="{00000000-0005-0000-0000-0000FF000000}"/>
    <cellStyle name="Normal 6 2 3" xfId="288" xr:uid="{00000000-0005-0000-0000-000000010000}"/>
    <cellStyle name="Normal 6 3" xfId="164" xr:uid="{00000000-0005-0000-0000-000001010000}"/>
    <cellStyle name="Normal 6 3 2" xfId="380" xr:uid="{00000000-0005-0000-0000-000002010000}"/>
    <cellStyle name="Normal 6 3 3" xfId="289" xr:uid="{00000000-0005-0000-0000-000003010000}"/>
    <cellStyle name="Normal 7" xfId="165" xr:uid="{00000000-0005-0000-0000-000004010000}"/>
    <cellStyle name="Normal 7 2" xfId="381" xr:uid="{00000000-0005-0000-0000-000005010000}"/>
    <cellStyle name="Normal 7 3" xfId="290" xr:uid="{00000000-0005-0000-0000-000006010000}"/>
    <cellStyle name="Normal 8" xfId="166" xr:uid="{00000000-0005-0000-0000-000007010000}"/>
    <cellStyle name="Normal 8 2" xfId="167" xr:uid="{00000000-0005-0000-0000-000008010000}"/>
    <cellStyle name="Normal 8 2 2" xfId="429" xr:uid="{00000000-0005-0000-0000-000009010000}"/>
    <cellStyle name="Normal 8 2 3" xfId="383" xr:uid="{00000000-0005-0000-0000-00000A010000}"/>
    <cellStyle name="Normal 8 2 4" xfId="292" xr:uid="{00000000-0005-0000-0000-00000B010000}"/>
    <cellStyle name="Normal 8 3" xfId="168" xr:uid="{00000000-0005-0000-0000-00000C010000}"/>
    <cellStyle name="Normal 8 3 2" xfId="384" xr:uid="{00000000-0005-0000-0000-00000D010000}"/>
    <cellStyle name="Normal 8 3 3" xfId="293" xr:uid="{00000000-0005-0000-0000-00000E010000}"/>
    <cellStyle name="Normal 8 4" xfId="382" xr:uid="{00000000-0005-0000-0000-00000F010000}"/>
    <cellStyle name="Normal 8 5" xfId="291" xr:uid="{00000000-0005-0000-0000-000010010000}"/>
    <cellStyle name="Nota 2" xfId="169" xr:uid="{00000000-0005-0000-0000-000012010000}"/>
    <cellStyle name="Nota 2 2" xfId="170" xr:uid="{00000000-0005-0000-0000-000013010000}"/>
    <cellStyle name="Nota 2 2 2" xfId="295" xr:uid="{00000000-0005-0000-0000-000014010000}"/>
    <cellStyle name="Nota 2 3" xfId="294" xr:uid="{00000000-0005-0000-0000-000015010000}"/>
    <cellStyle name="Nota 3" xfId="171" xr:uid="{00000000-0005-0000-0000-000016010000}"/>
    <cellStyle name="Nota 3 2" xfId="172" xr:uid="{00000000-0005-0000-0000-000017010000}"/>
    <cellStyle name="Nota 3 2 2" xfId="297" xr:uid="{00000000-0005-0000-0000-000018010000}"/>
    <cellStyle name="Nota 3 3" xfId="296" xr:uid="{00000000-0005-0000-0000-000019010000}"/>
    <cellStyle name="Porcentagem" xfId="173" builtinId="5"/>
    <cellStyle name="Porcentagem 10 2" xfId="174" xr:uid="{00000000-0005-0000-0000-00001B010000}"/>
    <cellStyle name="Porcentagem 10 2 2" xfId="435" xr:uid="{00000000-0005-0000-0000-00001C010000}"/>
    <cellStyle name="Porcentagem 10 2 3" xfId="385" xr:uid="{00000000-0005-0000-0000-00001D010000}"/>
    <cellStyle name="Porcentagem 10 2 4" xfId="298" xr:uid="{00000000-0005-0000-0000-00001E010000}"/>
    <cellStyle name="Porcentagem 10 3" xfId="175" xr:uid="{00000000-0005-0000-0000-00001F010000}"/>
    <cellStyle name="Porcentagem 10 3 2" xfId="386" xr:uid="{00000000-0005-0000-0000-000020010000}"/>
    <cellStyle name="Porcentagem 10 3 3" xfId="299" xr:uid="{00000000-0005-0000-0000-000021010000}"/>
    <cellStyle name="Porcentagem 11" xfId="176" xr:uid="{00000000-0005-0000-0000-000022010000}"/>
    <cellStyle name="Porcentagem 11 2" xfId="387" xr:uid="{00000000-0005-0000-0000-000023010000}"/>
    <cellStyle name="Porcentagem 11 3" xfId="300" xr:uid="{00000000-0005-0000-0000-000024010000}"/>
    <cellStyle name="Porcentagem 12" xfId="177" xr:uid="{00000000-0005-0000-0000-000025010000}"/>
    <cellStyle name="Porcentagem 12 2" xfId="247" xr:uid="{00000000-0005-0000-0000-000026010000}"/>
    <cellStyle name="Porcentagem 13" xfId="178" xr:uid="{00000000-0005-0000-0000-000027010000}"/>
    <cellStyle name="Porcentagem 13 2" xfId="433" xr:uid="{00000000-0005-0000-0000-000028010000}"/>
    <cellStyle name="Porcentagem 13 3" xfId="388" xr:uid="{00000000-0005-0000-0000-000029010000}"/>
    <cellStyle name="Porcentagem 13 4" xfId="301" xr:uid="{00000000-0005-0000-0000-00002A010000}"/>
    <cellStyle name="Porcentagem 2" xfId="179" xr:uid="{00000000-0005-0000-0000-00002B010000}"/>
    <cellStyle name="Porcentagem 2 2" xfId="180" xr:uid="{00000000-0005-0000-0000-00002C010000}"/>
    <cellStyle name="Porcentagem 2 2 2" xfId="390" xr:uid="{00000000-0005-0000-0000-00002D010000}"/>
    <cellStyle name="Porcentagem 2 2 3" xfId="303" xr:uid="{00000000-0005-0000-0000-00002E010000}"/>
    <cellStyle name="Porcentagem 2 3" xfId="181" xr:uid="{00000000-0005-0000-0000-00002F010000}"/>
    <cellStyle name="Porcentagem 2 3 2" xfId="391" xr:uid="{00000000-0005-0000-0000-000030010000}"/>
    <cellStyle name="Porcentagem 2 3 3" xfId="304" xr:uid="{00000000-0005-0000-0000-000031010000}"/>
    <cellStyle name="Porcentagem 2 4" xfId="389" xr:uid="{00000000-0005-0000-0000-000032010000}"/>
    <cellStyle name="Porcentagem 2 5" xfId="302" xr:uid="{00000000-0005-0000-0000-000033010000}"/>
    <cellStyle name="Porcentagem 3" xfId="182" xr:uid="{00000000-0005-0000-0000-000034010000}"/>
    <cellStyle name="Porcentagem 3 2" xfId="392" xr:uid="{00000000-0005-0000-0000-000035010000}"/>
    <cellStyle name="Porcentagem 3 3" xfId="305" xr:uid="{00000000-0005-0000-0000-000036010000}"/>
    <cellStyle name="Porcentagem 4" xfId="183" xr:uid="{00000000-0005-0000-0000-000037010000}"/>
    <cellStyle name="Porcentagem 4 2" xfId="393" xr:uid="{00000000-0005-0000-0000-000038010000}"/>
    <cellStyle name="Porcentagem 4 3" xfId="306" xr:uid="{00000000-0005-0000-0000-000039010000}"/>
    <cellStyle name="Porcentagem 5" xfId="184" xr:uid="{00000000-0005-0000-0000-00003A010000}"/>
    <cellStyle name="Porcentagem 5 2" xfId="185" xr:uid="{00000000-0005-0000-0000-00003B010000}"/>
    <cellStyle name="Porcentagem 5 2 2" xfId="395" xr:uid="{00000000-0005-0000-0000-00003C010000}"/>
    <cellStyle name="Porcentagem 5 2 3" xfId="308" xr:uid="{00000000-0005-0000-0000-00003D010000}"/>
    <cellStyle name="Porcentagem 5 3" xfId="394" xr:uid="{00000000-0005-0000-0000-00003E010000}"/>
    <cellStyle name="Porcentagem 5 4" xfId="307" xr:uid="{00000000-0005-0000-0000-00003F010000}"/>
    <cellStyle name="Porcentagem 6" xfId="186" xr:uid="{00000000-0005-0000-0000-000040010000}"/>
    <cellStyle name="Porcentagem 6 2" xfId="187" xr:uid="{00000000-0005-0000-0000-000041010000}"/>
    <cellStyle name="Porcentagem 6 2 2" xfId="437" xr:uid="{00000000-0005-0000-0000-000042010000}"/>
    <cellStyle name="Porcentagem 6 2 3" xfId="397" xr:uid="{00000000-0005-0000-0000-000043010000}"/>
    <cellStyle name="Porcentagem 6 2 4" xfId="310" xr:uid="{00000000-0005-0000-0000-000044010000}"/>
    <cellStyle name="Porcentagem 6 3" xfId="396" xr:uid="{00000000-0005-0000-0000-000045010000}"/>
    <cellStyle name="Porcentagem 6 4" xfId="309" xr:uid="{00000000-0005-0000-0000-000046010000}"/>
    <cellStyle name="Porcentagem 7" xfId="188" xr:uid="{00000000-0005-0000-0000-000047010000}"/>
    <cellStyle name="Porcentagem 7 2" xfId="189" xr:uid="{00000000-0005-0000-0000-000048010000}"/>
    <cellStyle name="Porcentagem 7 2 2" xfId="399" xr:uid="{00000000-0005-0000-0000-000049010000}"/>
    <cellStyle name="Porcentagem 7 2 3" xfId="312" xr:uid="{00000000-0005-0000-0000-00004A010000}"/>
    <cellStyle name="Porcentagem 7 3" xfId="398" xr:uid="{00000000-0005-0000-0000-00004B010000}"/>
    <cellStyle name="Porcentagem 7 4" xfId="311" xr:uid="{00000000-0005-0000-0000-00004C010000}"/>
    <cellStyle name="Porcentagem 8" xfId="190" xr:uid="{00000000-0005-0000-0000-00004D010000}"/>
    <cellStyle name="Porcentagem 8 2" xfId="191" xr:uid="{00000000-0005-0000-0000-00004E010000}"/>
    <cellStyle name="Porcentagem 8 2 2" xfId="401" xr:uid="{00000000-0005-0000-0000-00004F010000}"/>
    <cellStyle name="Porcentagem 8 2 3" xfId="314" xr:uid="{00000000-0005-0000-0000-000050010000}"/>
    <cellStyle name="Porcentagem 8 3" xfId="400" xr:uid="{00000000-0005-0000-0000-000051010000}"/>
    <cellStyle name="Porcentagem 8 4" xfId="313" xr:uid="{00000000-0005-0000-0000-000052010000}"/>
    <cellStyle name="Porcentagem 9" xfId="192" xr:uid="{00000000-0005-0000-0000-000053010000}"/>
    <cellStyle name="Porcentagem 9 2" xfId="402" xr:uid="{00000000-0005-0000-0000-000054010000}"/>
    <cellStyle name="Porcentagem 9 3" xfId="315" xr:uid="{00000000-0005-0000-0000-000055010000}"/>
    <cellStyle name="Saída 2" xfId="193" xr:uid="{00000000-0005-0000-0000-000056010000}"/>
    <cellStyle name="Saída 2 2" xfId="194" xr:uid="{00000000-0005-0000-0000-000057010000}"/>
    <cellStyle name="Saída 2 2 2" xfId="404" xr:uid="{00000000-0005-0000-0000-000058010000}"/>
    <cellStyle name="Saída 2 2 3" xfId="317" xr:uid="{00000000-0005-0000-0000-000059010000}"/>
    <cellStyle name="Saída 2 3" xfId="403" xr:uid="{00000000-0005-0000-0000-00005A010000}"/>
    <cellStyle name="Saída 2 4" xfId="316" xr:uid="{00000000-0005-0000-0000-00005B010000}"/>
    <cellStyle name="Saída 3" xfId="195" xr:uid="{00000000-0005-0000-0000-00005C010000}"/>
    <cellStyle name="Saída 3 2" xfId="196" xr:uid="{00000000-0005-0000-0000-00005D010000}"/>
    <cellStyle name="Saída 3 2 2" xfId="406" xr:uid="{00000000-0005-0000-0000-00005E010000}"/>
    <cellStyle name="Saída 3 2 3" xfId="319" xr:uid="{00000000-0005-0000-0000-00005F010000}"/>
    <cellStyle name="Saída 3 3" xfId="405" xr:uid="{00000000-0005-0000-0000-000060010000}"/>
    <cellStyle name="Saída 3 4" xfId="318" xr:uid="{00000000-0005-0000-0000-000061010000}"/>
    <cellStyle name="Separador de milhares 10" xfId="197" xr:uid="{00000000-0005-0000-0000-000062010000}"/>
    <cellStyle name="Separador de milhares 10 2" xfId="198" xr:uid="{00000000-0005-0000-0000-000063010000}"/>
    <cellStyle name="Separador de milhares 10 2 2" xfId="408" xr:uid="{00000000-0005-0000-0000-000064010000}"/>
    <cellStyle name="Separador de milhares 10 2 3" xfId="321" xr:uid="{00000000-0005-0000-0000-000065010000}"/>
    <cellStyle name="Separador de milhares 10 3" xfId="407" xr:uid="{00000000-0005-0000-0000-000066010000}"/>
    <cellStyle name="Separador de milhares 10 4" xfId="320" xr:uid="{00000000-0005-0000-0000-000067010000}"/>
    <cellStyle name="Separador de milhares 2" xfId="199" xr:uid="{00000000-0005-0000-0000-000068010000}"/>
    <cellStyle name="Separador de milhares 2 2" xfId="200" xr:uid="{00000000-0005-0000-0000-000069010000}"/>
    <cellStyle name="Separador de milhares 2 2 2" xfId="201" xr:uid="{00000000-0005-0000-0000-00006A010000}"/>
    <cellStyle name="Separador de milhares 2 2 2 2" xfId="411" xr:uid="{00000000-0005-0000-0000-00006B010000}"/>
    <cellStyle name="Separador de milhares 2 2 2 3" xfId="324" xr:uid="{00000000-0005-0000-0000-00006C010000}"/>
    <cellStyle name="Separador de milhares 2 2 3" xfId="410" xr:uid="{00000000-0005-0000-0000-00006D010000}"/>
    <cellStyle name="Separador de milhares 2 2 4" xfId="323" xr:uid="{00000000-0005-0000-0000-00006E010000}"/>
    <cellStyle name="Separador de milhares 2 3" xfId="202" xr:uid="{00000000-0005-0000-0000-00006F010000}"/>
    <cellStyle name="Separador de milhares 2 3 2" xfId="412" xr:uid="{00000000-0005-0000-0000-000070010000}"/>
    <cellStyle name="Separador de milhares 2 3 3" xfId="325" xr:uid="{00000000-0005-0000-0000-000071010000}"/>
    <cellStyle name="Separador de milhares 2 4" xfId="409" xr:uid="{00000000-0005-0000-0000-000072010000}"/>
    <cellStyle name="Separador de milhares 2 5" xfId="322" xr:uid="{00000000-0005-0000-0000-000073010000}"/>
    <cellStyle name="Separador de milhares 3" xfId="203" xr:uid="{00000000-0005-0000-0000-000074010000}"/>
    <cellStyle name="Separador de milhares 3 2" xfId="413" xr:uid="{00000000-0005-0000-0000-000075010000}"/>
    <cellStyle name="Separador de milhares 3 3" xfId="326" xr:uid="{00000000-0005-0000-0000-000076010000}"/>
    <cellStyle name="Separador de milhares 4" xfId="204" xr:uid="{00000000-0005-0000-0000-000077010000}"/>
    <cellStyle name="Separador de milhares 4 2" xfId="205" xr:uid="{00000000-0005-0000-0000-000078010000}"/>
    <cellStyle name="Separador de milhares 4 2 2" xfId="415" xr:uid="{00000000-0005-0000-0000-000079010000}"/>
    <cellStyle name="Separador de milhares 4 2 3" xfId="328" xr:uid="{00000000-0005-0000-0000-00007A010000}"/>
    <cellStyle name="Separador de milhares 4 3" xfId="414" xr:uid="{00000000-0005-0000-0000-00007B010000}"/>
    <cellStyle name="Separador de milhares 4 4" xfId="327" xr:uid="{00000000-0005-0000-0000-00007C010000}"/>
    <cellStyle name="Separador de milhares 5" xfId="206" xr:uid="{00000000-0005-0000-0000-00007D010000}"/>
    <cellStyle name="Separador de milhares 5 2" xfId="416" xr:uid="{00000000-0005-0000-0000-00007E010000}"/>
    <cellStyle name="Separador de milhares 5 3" xfId="329" xr:uid="{00000000-0005-0000-0000-00007F010000}"/>
    <cellStyle name="Texto de Aviso 2" xfId="207" xr:uid="{00000000-0005-0000-0000-000080010000}"/>
    <cellStyle name="Texto de Aviso 2 2" xfId="208" xr:uid="{00000000-0005-0000-0000-000081010000}"/>
    <cellStyle name="Texto de Aviso 3" xfId="209" xr:uid="{00000000-0005-0000-0000-000082010000}"/>
    <cellStyle name="Texto de Aviso 3 2" xfId="210" xr:uid="{00000000-0005-0000-0000-000083010000}"/>
    <cellStyle name="Texto Explicativo 2" xfId="211" xr:uid="{00000000-0005-0000-0000-000084010000}"/>
    <cellStyle name="Texto Explicativo 2 2" xfId="212" xr:uid="{00000000-0005-0000-0000-000085010000}"/>
    <cellStyle name="Texto Explicativo 3" xfId="213" xr:uid="{00000000-0005-0000-0000-000086010000}"/>
    <cellStyle name="Texto Explicativo 3 2" xfId="214" xr:uid="{00000000-0005-0000-0000-000087010000}"/>
    <cellStyle name="Título 1 2" xfId="215" xr:uid="{00000000-0005-0000-0000-000088010000}"/>
    <cellStyle name="Título 1 2 2" xfId="216" xr:uid="{00000000-0005-0000-0000-000089010000}"/>
    <cellStyle name="Título 1 3" xfId="217" xr:uid="{00000000-0005-0000-0000-00008A010000}"/>
    <cellStyle name="Título 1 3 2" xfId="218" xr:uid="{00000000-0005-0000-0000-00008B010000}"/>
    <cellStyle name="Título 2 2" xfId="219" xr:uid="{00000000-0005-0000-0000-00008C010000}"/>
    <cellStyle name="Título 2 2 2" xfId="220" xr:uid="{00000000-0005-0000-0000-00008D010000}"/>
    <cellStyle name="Título 2 3" xfId="221" xr:uid="{00000000-0005-0000-0000-00008E010000}"/>
    <cellStyle name="Título 2 3 2" xfId="222" xr:uid="{00000000-0005-0000-0000-00008F010000}"/>
    <cellStyle name="Título 3 2" xfId="223" xr:uid="{00000000-0005-0000-0000-000090010000}"/>
    <cellStyle name="Título 3 2 2" xfId="224" xr:uid="{00000000-0005-0000-0000-000091010000}"/>
    <cellStyle name="Título 3 3" xfId="225" xr:uid="{00000000-0005-0000-0000-000092010000}"/>
    <cellStyle name="Título 3 3 2" xfId="226" xr:uid="{00000000-0005-0000-0000-000093010000}"/>
    <cellStyle name="Título 4 2" xfId="227" xr:uid="{00000000-0005-0000-0000-000094010000}"/>
    <cellStyle name="Título 4 2 2" xfId="228" xr:uid="{00000000-0005-0000-0000-000095010000}"/>
    <cellStyle name="Título 4 3" xfId="229" xr:uid="{00000000-0005-0000-0000-000096010000}"/>
    <cellStyle name="Título 4 3 2" xfId="230" xr:uid="{00000000-0005-0000-0000-000097010000}"/>
    <cellStyle name="Título 5" xfId="231" xr:uid="{00000000-0005-0000-0000-000098010000}"/>
    <cellStyle name="Título 5 2" xfId="232" xr:uid="{00000000-0005-0000-0000-000099010000}"/>
    <cellStyle name="Título 6" xfId="233" xr:uid="{00000000-0005-0000-0000-00009A010000}"/>
    <cellStyle name="Título 6 2" xfId="234" xr:uid="{00000000-0005-0000-0000-00009B010000}"/>
    <cellStyle name="Total 2" xfId="235" xr:uid="{00000000-0005-0000-0000-00009C010000}"/>
    <cellStyle name="Total 2 2" xfId="236" xr:uid="{00000000-0005-0000-0000-00009D010000}"/>
    <cellStyle name="Total 2 2 2" xfId="418" xr:uid="{00000000-0005-0000-0000-00009E010000}"/>
    <cellStyle name="Total 2 2 3" xfId="331" xr:uid="{00000000-0005-0000-0000-00009F010000}"/>
    <cellStyle name="Total 2 3" xfId="417" xr:uid="{00000000-0005-0000-0000-0000A0010000}"/>
    <cellStyle name="Total 2 4" xfId="330" xr:uid="{00000000-0005-0000-0000-0000A1010000}"/>
    <cellStyle name="Total 3" xfId="237" xr:uid="{00000000-0005-0000-0000-0000A2010000}"/>
    <cellStyle name="Total 3 2" xfId="238" xr:uid="{00000000-0005-0000-0000-0000A3010000}"/>
    <cellStyle name="Total 3 2 2" xfId="420" xr:uid="{00000000-0005-0000-0000-0000A4010000}"/>
    <cellStyle name="Total 3 2 3" xfId="333" xr:uid="{00000000-0005-0000-0000-0000A5010000}"/>
    <cellStyle name="Total 3 3" xfId="419" xr:uid="{00000000-0005-0000-0000-0000A6010000}"/>
    <cellStyle name="Total 3 4" xfId="332" xr:uid="{00000000-0005-0000-0000-0000A7010000}"/>
    <cellStyle name="Vírgula" xfId="239" builtinId="3"/>
    <cellStyle name="Vírgula 2" xfId="240" xr:uid="{00000000-0005-0000-0000-0000A9010000}"/>
    <cellStyle name="Vírgula 2 2" xfId="241" xr:uid="{00000000-0005-0000-0000-0000AA010000}"/>
    <cellStyle name="Vírgula 2 2 2" xfId="436" xr:uid="{00000000-0005-0000-0000-0000AB010000}"/>
    <cellStyle name="Vírgula 2 2 3" xfId="421" xr:uid="{00000000-0005-0000-0000-0000AC010000}"/>
    <cellStyle name="Vírgula 2 2 4" xfId="334" xr:uid="{00000000-0005-0000-0000-0000AD010000}"/>
    <cellStyle name="Vírgula 2 3" xfId="246" xr:uid="{00000000-0005-0000-0000-0000AE010000}"/>
    <cellStyle name="Vírgula 2 3 2" xfId="425" xr:uid="{00000000-0005-0000-0000-0000AF010000}"/>
    <cellStyle name="Vírgula 2 3 3" xfId="338" xr:uid="{00000000-0005-0000-0000-0000B0010000}"/>
    <cellStyle name="Vírgula 2 4" xfId="428" xr:uid="{00000000-0005-0000-0000-0000B1010000}"/>
    <cellStyle name="Vírgula 2 5" xfId="440" xr:uid="{989AF056-C710-473D-B645-77BCE8498CD6}"/>
    <cellStyle name="Vírgula 3" xfId="242" xr:uid="{00000000-0005-0000-0000-0000B2010000}"/>
    <cellStyle name="Vírgula 3 2" xfId="422" xr:uid="{00000000-0005-0000-0000-0000B3010000}"/>
    <cellStyle name="Vírgula 3 3" xfId="335" xr:uid="{00000000-0005-0000-0000-0000B4010000}"/>
    <cellStyle name="Vírgula 4" xfId="243" xr:uid="{00000000-0005-0000-0000-0000B5010000}"/>
    <cellStyle name="Vírgula 4 2" xfId="432" xr:uid="{00000000-0005-0000-0000-0000B6010000}"/>
    <cellStyle name="Vírgula 4 3" xfId="423" xr:uid="{00000000-0005-0000-0000-0000B7010000}"/>
    <cellStyle name="Vírgula 4 4" xfId="336" xr:uid="{00000000-0005-0000-0000-0000B8010000}"/>
  </cellStyles>
  <dxfs count="0"/>
  <tableStyles count="0" defaultTableStyle="TableStyleMedium9" defaultPivotStyle="PivotStyleLight16"/>
  <colors>
    <mruColors>
      <color rgb="FFFF5757"/>
      <color rgb="FFFFCCFF"/>
      <color rgb="FFFF99CC"/>
      <color rgb="FFFF6699"/>
      <color rgb="FFE08ED6"/>
      <color rgb="FFCC3399"/>
      <color rgb="FFCC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66675</xdr:rowOff>
    </xdr:from>
    <xdr:to>
      <xdr:col>3</xdr:col>
      <xdr:colOff>1143000</xdr:colOff>
      <xdr:row>4</xdr:row>
      <xdr:rowOff>95250</xdr:rowOff>
    </xdr:to>
    <xdr:sp macro="" textlink="">
      <xdr:nvSpPr>
        <xdr:cNvPr id="45057" name="Check Box 1" descr="PERICULOSIDADE" hidden="1">
          <a:extLst>
            <a:ext uri="{63B3BB69-23CF-44E3-9099-C40C66FF867C}">
              <a14:compatExt xmlns:a14="http://schemas.microsoft.com/office/drawing/2010/main" spid="_x0000_s45057"/>
            </a:ext>
            <a:ext uri="{FF2B5EF4-FFF2-40B4-BE49-F238E27FC236}">
              <a16:creationId xmlns:a16="http://schemas.microsoft.com/office/drawing/2014/main" id="{00000000-0008-0000-0000-000001B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PERICULOSIDADE</a:t>
          </a:r>
        </a:p>
      </xdr:txBody>
    </xdr:sp>
    <xdr:clientData/>
  </xdr:twoCellAnchor>
  <xdr:twoCellAnchor editAs="oneCell">
    <xdr:from>
      <xdr:col>2</xdr:col>
      <xdr:colOff>876300</xdr:colOff>
      <xdr:row>2</xdr:row>
      <xdr:rowOff>9525</xdr:rowOff>
    </xdr:from>
    <xdr:to>
      <xdr:col>3</xdr:col>
      <xdr:colOff>1123950</xdr:colOff>
      <xdr:row>3</xdr:row>
      <xdr:rowOff>19050</xdr:rowOff>
    </xdr:to>
    <xdr:sp macro="" textlink="">
      <xdr:nvSpPr>
        <xdr:cNvPr id="45058" name="Check Box 2" descr="INSALUBRIDADE&#10;" hidden="1">
          <a:extLst>
            <a:ext uri="{63B3BB69-23CF-44E3-9099-C40C66FF867C}">
              <a14:compatExt xmlns:a14="http://schemas.microsoft.com/office/drawing/2010/main" spid="_x0000_s45058"/>
            </a:ext>
            <a:ext uri="{FF2B5EF4-FFF2-40B4-BE49-F238E27FC236}">
              <a16:creationId xmlns:a16="http://schemas.microsoft.com/office/drawing/2014/main" id="{00000000-0008-0000-0000-000002B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INSALUBRIDADE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66675</xdr:rowOff>
    </xdr:from>
    <xdr:to>
      <xdr:col>3</xdr:col>
      <xdr:colOff>1143000</xdr:colOff>
      <xdr:row>4</xdr:row>
      <xdr:rowOff>95250</xdr:rowOff>
    </xdr:to>
    <xdr:sp macro="" textlink="">
      <xdr:nvSpPr>
        <xdr:cNvPr id="44033" name="Check Box 1" descr="PERICULOSIDADE" hidden="1">
          <a:extLst>
            <a:ext uri="{63B3BB69-23CF-44E3-9099-C40C66FF867C}">
              <a14:compatExt xmlns:a14="http://schemas.microsoft.com/office/drawing/2010/main" spid="_x0000_s44033"/>
            </a:ext>
            <a:ext uri="{FF2B5EF4-FFF2-40B4-BE49-F238E27FC236}">
              <a16:creationId xmlns:a16="http://schemas.microsoft.com/office/drawing/2014/main" id="{00000000-0008-0000-0100-000001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PERICULOSIDADE</a:t>
          </a:r>
        </a:p>
      </xdr:txBody>
    </xdr:sp>
    <xdr:clientData/>
  </xdr:twoCellAnchor>
  <xdr:twoCellAnchor editAs="oneCell">
    <xdr:from>
      <xdr:col>2</xdr:col>
      <xdr:colOff>876300</xdr:colOff>
      <xdr:row>2</xdr:row>
      <xdr:rowOff>9525</xdr:rowOff>
    </xdr:from>
    <xdr:to>
      <xdr:col>3</xdr:col>
      <xdr:colOff>1123950</xdr:colOff>
      <xdr:row>3</xdr:row>
      <xdr:rowOff>19050</xdr:rowOff>
    </xdr:to>
    <xdr:sp macro="" textlink="">
      <xdr:nvSpPr>
        <xdr:cNvPr id="44034" name="Check Box 2" descr="INSALUBRIDADE&#10;" hidden="1">
          <a:extLst>
            <a:ext uri="{63B3BB69-23CF-44E3-9099-C40C66FF867C}">
              <a14:compatExt xmlns:a14="http://schemas.microsoft.com/office/drawing/2010/main" spid="_x0000_s44034"/>
            </a:ext>
            <a:ext uri="{FF2B5EF4-FFF2-40B4-BE49-F238E27FC236}">
              <a16:creationId xmlns:a16="http://schemas.microsoft.com/office/drawing/2014/main" id="{00000000-0008-0000-0100-000002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INSALUBRIDADE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66675</xdr:rowOff>
    </xdr:from>
    <xdr:to>
      <xdr:col>3</xdr:col>
      <xdr:colOff>1143000</xdr:colOff>
      <xdr:row>4</xdr:row>
      <xdr:rowOff>95250</xdr:rowOff>
    </xdr:to>
    <xdr:sp macro="" textlink="">
      <xdr:nvSpPr>
        <xdr:cNvPr id="18433" name="Check Box 1" descr="PERICULOSIDADE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0000000-0008-0000-0200-00000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PERICULOSIDADE</a:t>
          </a:r>
        </a:p>
      </xdr:txBody>
    </xdr:sp>
    <xdr:clientData/>
  </xdr:twoCellAnchor>
  <xdr:twoCellAnchor editAs="oneCell">
    <xdr:from>
      <xdr:col>2</xdr:col>
      <xdr:colOff>876300</xdr:colOff>
      <xdr:row>2</xdr:row>
      <xdr:rowOff>9525</xdr:rowOff>
    </xdr:from>
    <xdr:to>
      <xdr:col>3</xdr:col>
      <xdr:colOff>1123950</xdr:colOff>
      <xdr:row>3</xdr:row>
      <xdr:rowOff>19050</xdr:rowOff>
    </xdr:to>
    <xdr:sp macro="" textlink="">
      <xdr:nvSpPr>
        <xdr:cNvPr id="18434" name="Check Box 2" descr="INSALUBRIDADE&#10;" hidden="1">
          <a:extLst>
            <a:ext uri="{63B3BB69-23CF-44E3-9099-C40C66FF867C}">
              <a14:compatExt xmlns:a14="http://schemas.microsoft.com/office/drawing/2010/main" spid="_x0000_s18434"/>
            </a:ext>
            <a:ext uri="{FF2B5EF4-FFF2-40B4-BE49-F238E27FC236}">
              <a16:creationId xmlns:a16="http://schemas.microsoft.com/office/drawing/2014/main" id="{00000000-0008-0000-0200-00000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INSALUBRIDADE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esktop\TCU\Tribunal%20de%20Contas%20da%20Uni&#227;o\Selip-SPC%20-%20Documents\Pessoal\Pedro\2021\SEC-MA\Limpeza,%20copeiragem,%20recep&#231;&#227;o%20-%20SEC-MA\(Atualizada)%20Planilha%202019%20-%20SEC-M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pção"/>
      <sheetName val="Limpeza"/>
      <sheetName val="Copeiragem"/>
      <sheetName val="Materiais  Copeiragem"/>
      <sheetName val="Materiais Limpeza"/>
      <sheetName val="Materiais Recepção"/>
      <sheetName val="Equip. Limpeza"/>
      <sheetName val="Produtividade Limpeza"/>
      <sheetName val="Planilha de Limites MPDG"/>
      <sheetName val="Outros Órgãos"/>
      <sheetName val="Resumo de Custos"/>
      <sheetName val="Dados - Não mex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BD66-7AFC-43FB-BA64-0E9329CFA66E}">
  <sheetPr>
    <tabColor rgb="FF92D050"/>
  </sheetPr>
  <dimension ref="A1:L97"/>
  <sheetViews>
    <sheetView showGridLines="0" tabSelected="1" zoomScale="90" zoomScaleNormal="90" workbookViewId="0">
      <selection activeCell="I29" sqref="I29"/>
    </sheetView>
  </sheetViews>
  <sheetFormatPr defaultRowHeight="15"/>
  <cols>
    <col min="1" max="1" width="38" style="5" customWidth="1"/>
    <col min="2" max="2" width="16.5703125" style="5" customWidth="1"/>
    <col min="3" max="3" width="13.140625" style="5" customWidth="1"/>
    <col min="4" max="4" width="17.7109375" style="5" customWidth="1"/>
    <col min="5" max="5" width="38.140625" style="4" customWidth="1"/>
    <col min="6" max="6" width="16.140625" style="4" customWidth="1"/>
    <col min="7" max="7" width="9.140625" style="5"/>
    <col min="8" max="9" width="9.140625" style="5" customWidth="1"/>
    <col min="10" max="16384" width="9.140625" style="5"/>
  </cols>
  <sheetData>
    <row r="1" spans="1:12">
      <c r="A1" s="220" t="s">
        <v>0</v>
      </c>
      <c r="B1" s="220"/>
      <c r="C1" s="220"/>
      <c r="D1" s="220"/>
    </row>
    <row r="2" spans="1:12">
      <c r="A2" s="221" t="s">
        <v>1</v>
      </c>
      <c r="B2" s="221"/>
      <c r="C2" s="221"/>
      <c r="D2" s="221"/>
      <c r="E2" s="31"/>
      <c r="F2" s="18"/>
      <c r="G2" s="18"/>
      <c r="H2" s="18"/>
      <c r="I2" s="18"/>
    </row>
    <row r="3" spans="1:12" s="11" customFormat="1">
      <c r="A3" s="6" t="s">
        <v>2</v>
      </c>
      <c r="B3" s="7" t="s">
        <v>126</v>
      </c>
      <c r="C3" s="8"/>
      <c r="D3" s="9"/>
      <c r="E3" s="10"/>
      <c r="F3" s="10"/>
    </row>
    <row r="4" spans="1:12" s="11" customFormat="1">
      <c r="A4" s="6" t="s">
        <v>3</v>
      </c>
      <c r="B4" s="7" t="s">
        <v>4</v>
      </c>
      <c r="C4" s="9"/>
      <c r="D4" s="9"/>
      <c r="E4" s="12" t="b">
        <v>1</v>
      </c>
      <c r="F4" s="10" t="b">
        <v>1</v>
      </c>
    </row>
    <row r="5" spans="1:12" s="11" customFormat="1" ht="20.25" customHeight="1">
      <c r="A5" s="13" t="str">
        <f>IF(E4=TRUE,"Salário Mínimo local (R$)","")</f>
        <v>Salário Mínimo local (R$)</v>
      </c>
      <c r="B5" s="14">
        <v>1240</v>
      </c>
      <c r="C5" s="15"/>
      <c r="D5" s="15"/>
      <c r="E5" s="12" t="b">
        <v>0</v>
      </c>
      <c r="F5" s="10" t="b">
        <v>0</v>
      </c>
    </row>
    <row r="6" spans="1:12">
      <c r="A6" s="90" t="s">
        <v>5</v>
      </c>
      <c r="B6" s="90"/>
      <c r="C6" s="90"/>
      <c r="D6" s="90"/>
    </row>
    <row r="7" spans="1:12">
      <c r="A7" s="16" t="s">
        <v>6</v>
      </c>
      <c r="B7" s="16"/>
      <c r="C7" s="17"/>
      <c r="D7" s="62"/>
    </row>
    <row r="8" spans="1:12">
      <c r="A8" s="207" t="s">
        <v>7</v>
      </c>
      <c r="B8" s="207"/>
      <c r="C8" s="91"/>
      <c r="D8" s="92">
        <f>ROUND(SUM(D7:D7),2)</f>
        <v>0</v>
      </c>
    </row>
    <row r="9" spans="1:12" ht="8.25" customHeight="1">
      <c r="A9" s="93"/>
      <c r="B9" s="94"/>
      <c r="C9" s="95"/>
      <c r="D9" s="96"/>
    </row>
    <row r="10" spans="1:12">
      <c r="A10" s="183" t="s">
        <v>8</v>
      </c>
      <c r="B10" s="183"/>
      <c r="C10" s="91"/>
      <c r="D10" s="92">
        <f>ROUND(SUM(D8:D9),2)</f>
        <v>0</v>
      </c>
    </row>
    <row r="11" spans="1:12" ht="8.25" customHeight="1">
      <c r="A11" s="93"/>
      <c r="B11" s="94"/>
      <c r="C11" s="95"/>
      <c r="D11" s="96"/>
    </row>
    <row r="12" spans="1:12">
      <c r="A12" s="222" t="s">
        <v>9</v>
      </c>
      <c r="B12" s="222"/>
      <c r="C12" s="222"/>
      <c r="D12" s="91"/>
    </row>
    <row r="13" spans="1:12">
      <c r="A13" s="97" t="s">
        <v>10</v>
      </c>
      <c r="B13" s="97"/>
      <c r="C13" s="98"/>
      <c r="D13" s="99"/>
    </row>
    <row r="14" spans="1:12">
      <c r="A14" s="21" t="s">
        <v>11</v>
      </c>
      <c r="B14" s="18"/>
      <c r="C14" s="22">
        <v>0.2</v>
      </c>
      <c r="D14" s="83">
        <f t="shared" ref="D14:D21" si="0">ROUND(($D$8)*C14,2)</f>
        <v>0</v>
      </c>
    </row>
    <row r="15" spans="1:12">
      <c r="A15" s="21" t="s">
        <v>12</v>
      </c>
      <c r="B15" s="18"/>
      <c r="C15" s="22">
        <v>0.08</v>
      </c>
      <c r="D15" s="83">
        <f t="shared" si="0"/>
        <v>0</v>
      </c>
    </row>
    <row r="16" spans="1:12">
      <c r="A16" s="21" t="s">
        <v>13</v>
      </c>
      <c r="B16" s="18"/>
      <c r="C16" s="22">
        <v>1.4999999999999999E-2</v>
      </c>
      <c r="D16" s="83">
        <f t="shared" si="0"/>
        <v>0</v>
      </c>
      <c r="L16" s="23"/>
    </row>
    <row r="17" spans="1:6">
      <c r="A17" s="21" t="s">
        <v>14</v>
      </c>
      <c r="B17" s="18"/>
      <c r="C17" s="22">
        <v>0.01</v>
      </c>
      <c r="D17" s="83">
        <f t="shared" si="0"/>
        <v>0</v>
      </c>
    </row>
    <row r="18" spans="1:6">
      <c r="A18" s="21" t="s">
        <v>15</v>
      </c>
      <c r="B18" s="18"/>
      <c r="C18" s="22">
        <v>2E-3</v>
      </c>
      <c r="D18" s="83">
        <f t="shared" si="0"/>
        <v>0</v>
      </c>
    </row>
    <row r="19" spans="1:6">
      <c r="A19" s="21" t="s">
        <v>16</v>
      </c>
      <c r="B19" s="18"/>
      <c r="C19" s="22">
        <v>6.0000000000000001E-3</v>
      </c>
      <c r="D19" s="83">
        <f t="shared" si="0"/>
        <v>0</v>
      </c>
    </row>
    <row r="20" spans="1:6">
      <c r="A20" s="21" t="s">
        <v>17</v>
      </c>
      <c r="B20" s="18"/>
      <c r="C20" s="22">
        <v>2.5000000000000001E-2</v>
      </c>
      <c r="D20" s="83">
        <f t="shared" si="0"/>
        <v>0</v>
      </c>
    </row>
    <row r="21" spans="1:6" ht="17.25" customHeight="1">
      <c r="A21" s="223" t="s">
        <v>18</v>
      </c>
      <c r="B21" s="223"/>
      <c r="C21" s="73">
        <f>ROUND(IF(A2="Recepção",2%,3%)*F21,5)</f>
        <v>0.04</v>
      </c>
      <c r="D21" s="83">
        <f t="shared" si="0"/>
        <v>0</v>
      </c>
      <c r="E21" s="72" t="s">
        <v>19</v>
      </c>
      <c r="F21" s="71">
        <v>2</v>
      </c>
    </row>
    <row r="22" spans="1:6">
      <c r="A22" s="93" t="s">
        <v>20</v>
      </c>
      <c r="B22" s="100"/>
      <c r="C22" s="101">
        <f>ROUND(SUM(C14:C21),5)</f>
        <v>0.378</v>
      </c>
      <c r="D22" s="102">
        <f>ROUND(SUM(D14:D21),2)</f>
        <v>0</v>
      </c>
    </row>
    <row r="23" spans="1:6">
      <c r="A23" s="103" t="s">
        <v>21</v>
      </c>
      <c r="B23" s="103"/>
      <c r="C23" s="104"/>
      <c r="D23" s="96"/>
    </row>
    <row r="24" spans="1:6">
      <c r="A24" s="105" t="s">
        <v>22</v>
      </c>
      <c r="B24" s="106"/>
      <c r="C24" s="107">
        <f>ROUND(1/12,5)</f>
        <v>8.3330000000000001E-2</v>
      </c>
      <c r="D24" s="83">
        <f t="shared" ref="D24:D31" si="1">ROUND(($D$10)*C24,2)</f>
        <v>0</v>
      </c>
    </row>
    <row r="25" spans="1:6">
      <c r="A25" s="185" t="s">
        <v>23</v>
      </c>
      <c r="B25" s="24"/>
      <c r="C25" s="74">
        <f>ROUND((1/12),5)</f>
        <v>8.3330000000000001E-2</v>
      </c>
      <c r="D25" s="83">
        <f t="shared" si="1"/>
        <v>0</v>
      </c>
    </row>
    <row r="26" spans="1:6" s="11" customFormat="1">
      <c r="A26" s="185" t="s">
        <v>24</v>
      </c>
      <c r="B26" s="24"/>
      <c r="C26" s="75">
        <f>ROUND((((100% / 30) * 7) / 12),5)</f>
        <v>1.9439999999999999E-2</v>
      </c>
      <c r="D26" s="84">
        <f t="shared" si="1"/>
        <v>0</v>
      </c>
      <c r="E26" s="10"/>
      <c r="F26" s="10"/>
    </row>
    <row r="27" spans="1:6" s="11" customFormat="1">
      <c r="A27" s="185" t="s">
        <v>25</v>
      </c>
      <c r="B27" s="24"/>
      <c r="C27" s="75">
        <f>ROUND((1462463/54796761)/12,5)</f>
        <v>2.2200000000000002E-3</v>
      </c>
      <c r="D27" s="84">
        <f t="shared" si="1"/>
        <v>0</v>
      </c>
      <c r="E27" s="10"/>
      <c r="F27" s="10"/>
    </row>
    <row r="28" spans="1:6" s="11" customFormat="1">
      <c r="A28" s="185" t="s">
        <v>26</v>
      </c>
      <c r="B28" s="24"/>
      <c r="C28" s="75">
        <f>ROUND((((100% /30) * 15) / 12) * 1.22%,5)</f>
        <v>5.1000000000000004E-4</v>
      </c>
      <c r="D28" s="84">
        <f t="shared" si="1"/>
        <v>0</v>
      </c>
      <c r="E28" s="10"/>
      <c r="F28" s="10"/>
    </row>
    <row r="29" spans="1:6" s="11" customFormat="1">
      <c r="A29" s="185" t="s">
        <v>27</v>
      </c>
      <c r="B29" s="24"/>
      <c r="C29" s="75">
        <f>ROUND(((100%/30)*1.4947)/12,5)</f>
        <v>4.15E-3</v>
      </c>
      <c r="D29" s="84">
        <f t="shared" si="1"/>
        <v>0</v>
      </c>
      <c r="E29" s="10"/>
      <c r="F29" s="10"/>
    </row>
    <row r="30" spans="1:6" s="11" customFormat="1">
      <c r="A30" s="213" t="s">
        <v>28</v>
      </c>
      <c r="B30" s="213"/>
      <c r="C30" s="75">
        <f>ROUND((8.333%*1.416%*4/12),5)</f>
        <v>3.8999999999999999E-4</v>
      </c>
      <c r="D30" s="84">
        <f t="shared" si="1"/>
        <v>0</v>
      </c>
      <c r="E30" s="10"/>
      <c r="F30" s="10"/>
    </row>
    <row r="31" spans="1:6" s="11" customFormat="1">
      <c r="A31" s="186" t="s">
        <v>29</v>
      </c>
      <c r="B31" s="69"/>
      <c r="C31" s="75">
        <f>ROUND((((100%/30)*5)/12)*1.416%,5)</f>
        <v>2.0000000000000001E-4</v>
      </c>
      <c r="D31" s="84">
        <f t="shared" si="1"/>
        <v>0</v>
      </c>
      <c r="E31" s="10"/>
      <c r="F31" s="10"/>
    </row>
    <row r="32" spans="1:6" s="26" customFormat="1">
      <c r="A32" s="108" t="s">
        <v>30</v>
      </c>
      <c r="B32" s="109"/>
      <c r="C32" s="110">
        <f>ROUND(SUM(C24:C31),5)</f>
        <v>0.19356999999999999</v>
      </c>
      <c r="D32" s="111">
        <f>ROUND(SUM(D24:D31),2)</f>
        <v>0</v>
      </c>
      <c r="E32" s="25"/>
      <c r="F32" s="25"/>
    </row>
    <row r="33" spans="1:6">
      <c r="A33" s="103" t="s">
        <v>31</v>
      </c>
      <c r="B33" s="103"/>
      <c r="C33" s="104"/>
      <c r="D33" s="96"/>
    </row>
    <row r="34" spans="1:6">
      <c r="A34" s="105" t="s">
        <v>32</v>
      </c>
      <c r="B34" s="112"/>
      <c r="C34" s="113">
        <f>ROUND(1/12*5%,5)</f>
        <v>4.1700000000000001E-3</v>
      </c>
      <c r="D34" s="83">
        <f t="shared" ref="D34:D38" si="2">ROUND(($D$10)*C34,2)</f>
        <v>0</v>
      </c>
    </row>
    <row r="35" spans="1:6" s="11" customFormat="1">
      <c r="A35" s="185" t="s">
        <v>33</v>
      </c>
      <c r="B35" s="70"/>
      <c r="C35" s="76">
        <f>ROUND(1/12*3.4275%,5)</f>
        <v>2.8600000000000001E-3</v>
      </c>
      <c r="D35" s="84">
        <f t="shared" si="2"/>
        <v>0</v>
      </c>
      <c r="E35" s="10"/>
      <c r="F35" s="10"/>
    </row>
    <row r="36" spans="1:6" ht="30" customHeight="1">
      <c r="A36" s="213" t="s">
        <v>34</v>
      </c>
      <c r="B36" s="213"/>
      <c r="C36" s="77">
        <f>ROUND(40%*8%,5)</f>
        <v>3.2000000000000001E-2</v>
      </c>
      <c r="D36" s="83">
        <f t="shared" si="2"/>
        <v>0</v>
      </c>
    </row>
    <row r="37" spans="1:6" ht="21.75" customHeight="1">
      <c r="A37" s="213" t="s">
        <v>123</v>
      </c>
      <c r="B37" s="213"/>
      <c r="C37" s="78">
        <f>ROUND(1/3*1/12,5)</f>
        <v>2.7779999999999999E-2</v>
      </c>
      <c r="D37" s="83">
        <f t="shared" si="2"/>
        <v>0</v>
      </c>
    </row>
    <row r="38" spans="1:6" ht="30" customHeight="1">
      <c r="A38" s="214" t="s">
        <v>124</v>
      </c>
      <c r="B38" s="214"/>
      <c r="C38" s="78">
        <f>ROUND(1/3*C30,5)</f>
        <v>1.2999999999999999E-4</v>
      </c>
      <c r="D38" s="83">
        <f t="shared" si="2"/>
        <v>0</v>
      </c>
      <c r="F38" s="68"/>
    </row>
    <row r="39" spans="1:6">
      <c r="A39" s="108" t="s">
        <v>35</v>
      </c>
      <c r="B39" s="114"/>
      <c r="C39" s="115">
        <f>ROUND(SUM(C34:C38),5)</f>
        <v>6.694E-2</v>
      </c>
      <c r="D39" s="111">
        <f>ROUND(SUM(D34:D38),2)</f>
        <v>0</v>
      </c>
    </row>
    <row r="40" spans="1:6">
      <c r="A40" s="97" t="s">
        <v>36</v>
      </c>
      <c r="B40" s="97"/>
      <c r="C40" s="109"/>
      <c r="D40" s="99"/>
    </row>
    <row r="41" spans="1:6" ht="22.5" customHeight="1">
      <c r="A41" s="215" t="s">
        <v>37</v>
      </c>
      <c r="B41" s="215"/>
      <c r="C41" s="116">
        <f>ROUND(C22*C32,5)</f>
        <v>7.3169999999999999E-2</v>
      </c>
      <c r="D41" s="117">
        <f>ROUND($D$10*C41,2)</f>
        <v>0</v>
      </c>
    </row>
    <row r="42" spans="1:6">
      <c r="A42" s="108" t="s">
        <v>38</v>
      </c>
      <c r="B42" s="109"/>
      <c r="C42" s="118">
        <f>ROUND(SUM(C41),5)</f>
        <v>7.3169999999999999E-2</v>
      </c>
      <c r="D42" s="111">
        <f>ROUND(SUM(D41),2)</f>
        <v>0</v>
      </c>
    </row>
    <row r="43" spans="1:6">
      <c r="A43" s="27" t="s">
        <v>39</v>
      </c>
      <c r="B43" s="27"/>
      <c r="C43" s="66"/>
      <c r="D43" s="17"/>
    </row>
    <row r="44" spans="1:6">
      <c r="A44" s="216" t="s">
        <v>40</v>
      </c>
      <c r="B44" s="216"/>
      <c r="C44" s="119">
        <f>ROUND(8%*C34,5)</f>
        <v>3.3E-4</v>
      </c>
      <c r="D44" s="120">
        <f>ROUND($D$8*C44,2)</f>
        <v>0</v>
      </c>
    </row>
    <row r="45" spans="1:6" ht="57.75" customHeight="1">
      <c r="A45" s="217" t="s">
        <v>41</v>
      </c>
      <c r="B45" s="217"/>
      <c r="C45" s="79">
        <f>ROUND(8%*C28,5)</f>
        <v>4.0000000000000003E-5</v>
      </c>
      <c r="D45" s="83">
        <f>ROUND($D$8*C45,2)</f>
        <v>0</v>
      </c>
    </row>
    <row r="46" spans="1:6" s="11" customFormat="1" ht="18" customHeight="1">
      <c r="A46" s="218" t="s">
        <v>42</v>
      </c>
      <c r="B46" s="218"/>
      <c r="C46" s="80">
        <f>ROUND(C15*C37,5)</f>
        <v>2.2200000000000002E-3</v>
      </c>
      <c r="D46" s="85">
        <f>ROUND($D$8*C46,2)</f>
        <v>0</v>
      </c>
      <c r="E46" s="10"/>
      <c r="F46" s="10"/>
    </row>
    <row r="47" spans="1:6">
      <c r="A47" s="93" t="s">
        <v>43</v>
      </c>
      <c r="B47" s="94"/>
      <c r="C47" s="115">
        <f>ROUND(SUM(C44:C46),5)</f>
        <v>2.5899999999999999E-3</v>
      </c>
      <c r="D47" s="102">
        <f>ROUND(SUM(D44:D46),2)</f>
        <v>0</v>
      </c>
    </row>
    <row r="48" spans="1:6">
      <c r="A48" s="103" t="s">
        <v>44</v>
      </c>
      <c r="B48" s="103"/>
      <c r="C48" s="104"/>
      <c r="D48" s="96"/>
    </row>
    <row r="49" spans="1:6" ht="49.5" customHeight="1">
      <c r="A49" s="219" t="s">
        <v>45</v>
      </c>
      <c r="B49" s="219"/>
      <c r="C49" s="73">
        <f>ROUND(C22*(4/12)*2/100,5)</f>
        <v>2.5200000000000001E-3</v>
      </c>
      <c r="D49" s="63">
        <f>ROUND($D$8*C49,2)</f>
        <v>0</v>
      </c>
    </row>
    <row r="50" spans="1:6">
      <c r="A50" s="93" t="s">
        <v>46</v>
      </c>
      <c r="B50" s="94"/>
      <c r="C50" s="121">
        <f>ROUND(SUM(C49),5)</f>
        <v>2.5200000000000001E-3</v>
      </c>
      <c r="D50" s="102">
        <f>ROUND(SUM(D49),2)</f>
        <v>0</v>
      </c>
    </row>
    <row r="51" spans="1:6">
      <c r="A51" s="183" t="s">
        <v>47</v>
      </c>
      <c r="B51" s="122"/>
      <c r="C51" s="123">
        <f>ROUND(C50+C47+C42+C39+C32+C22,5)</f>
        <v>0.71679000000000004</v>
      </c>
      <c r="D51" s="124">
        <f>ROUND(D50+D47+D42+D39+D32+D22,2)</f>
        <v>0</v>
      </c>
    </row>
    <row r="52" spans="1:6" ht="8.25" customHeight="1">
      <c r="A52" s="93"/>
      <c r="B52" s="94"/>
      <c r="C52" s="95"/>
      <c r="D52" s="102"/>
    </row>
    <row r="53" spans="1:6" s="45" customFormat="1" ht="16.5" customHeight="1">
      <c r="A53" s="207" t="s">
        <v>48</v>
      </c>
      <c r="B53" s="207"/>
      <c r="C53" s="207"/>
      <c r="D53" s="124">
        <f>ROUND(D51+D10,2)</f>
        <v>0</v>
      </c>
      <c r="E53" s="125"/>
      <c r="F53" s="126"/>
    </row>
    <row r="54" spans="1:6" ht="8.25" customHeight="1">
      <c r="A54" s="93"/>
      <c r="B54" s="94"/>
      <c r="C54" s="95"/>
      <c r="D54" s="96"/>
    </row>
    <row r="55" spans="1:6">
      <c r="A55" s="183" t="s">
        <v>49</v>
      </c>
      <c r="B55" s="183"/>
      <c r="C55" s="127"/>
      <c r="D55" s="128"/>
    </row>
    <row r="56" spans="1:6">
      <c r="A56" s="28" t="s">
        <v>50</v>
      </c>
      <c r="B56" s="28"/>
      <c r="C56" s="29"/>
      <c r="D56" s="64"/>
    </row>
    <row r="57" spans="1:6">
      <c r="A57" s="30" t="s">
        <v>51</v>
      </c>
      <c r="B57" s="30"/>
      <c r="C57" s="29"/>
      <c r="D57" s="64"/>
    </row>
    <row r="58" spans="1:6">
      <c r="A58" s="28" t="s">
        <v>52</v>
      </c>
      <c r="B58" s="28"/>
      <c r="C58" s="29"/>
      <c r="D58" s="64"/>
    </row>
    <row r="59" spans="1:6" ht="15" customHeight="1">
      <c r="A59" s="213" t="s">
        <v>53</v>
      </c>
      <c r="B59" s="213"/>
      <c r="C59" s="213"/>
      <c r="D59" s="64">
        <f>-6%*D7</f>
        <v>0</v>
      </c>
    </row>
    <row r="60" spans="1:6">
      <c r="A60" s="28" t="s">
        <v>54</v>
      </c>
      <c r="B60" s="28"/>
      <c r="C60" s="29"/>
      <c r="D60" s="64"/>
    </row>
    <row r="61" spans="1:6" s="20" customFormat="1">
      <c r="A61" s="129" t="s">
        <v>55</v>
      </c>
      <c r="B61" s="130"/>
      <c r="C61" s="127"/>
      <c r="D61" s="128">
        <f>ROUND(SUM(D56:D60),2)</f>
        <v>0</v>
      </c>
      <c r="E61" s="19"/>
      <c r="F61" s="19"/>
    </row>
    <row r="62" spans="1:6" ht="16.5" customHeight="1">
      <c r="A62" s="93"/>
      <c r="B62" s="94"/>
      <c r="C62" s="95"/>
      <c r="D62" s="96"/>
    </row>
    <row r="63" spans="1:6" s="20" customFormat="1">
      <c r="A63" s="183" t="str">
        <f>IF(B3="12x36 h","IV - COBERTURA INTRAJORNADA","")</f>
        <v/>
      </c>
      <c r="B63" s="183"/>
      <c r="C63" s="127"/>
      <c r="D63" s="128"/>
      <c r="E63" s="19"/>
      <c r="F63" s="19"/>
    </row>
    <row r="64" spans="1:6" s="20" customFormat="1" ht="18" customHeight="1">
      <c r="A64" s="210" t="str">
        <f>IF($B$3="12x36 h","Remuneração + encargos sociais + insumos","")</f>
        <v/>
      </c>
      <c r="B64" s="210"/>
      <c r="C64" s="131"/>
      <c r="D64" s="132" t="str">
        <f>IF(B3="12X36 H",(($D$61+($D$53-D58+D59)))/220*3*7*4.345/2,"")</f>
        <v/>
      </c>
      <c r="E64" s="19"/>
      <c r="F64" s="19"/>
    </row>
    <row r="65" spans="1:6" s="20" customFormat="1" ht="18" customHeight="1">
      <c r="A65" s="210" t="str">
        <f>IF(B3="12x36 h","Vale transporte - cobertura intrajornada","")</f>
        <v/>
      </c>
      <c r="B65" s="210"/>
      <c r="C65" s="131"/>
      <c r="D65" s="132" t="str">
        <f>IF(B3="12X36 H",D58,"")</f>
        <v/>
      </c>
      <c r="E65" s="19"/>
      <c r="F65" s="19"/>
    </row>
    <row r="66" spans="1:6" s="20" customFormat="1">
      <c r="A66" s="211" t="str">
        <f>IF(B3="12x36 h","TOTAL COBERTURA INTRAJORNADA (R$)","")</f>
        <v/>
      </c>
      <c r="B66" s="211"/>
      <c r="C66" s="133"/>
      <c r="D66" s="128" t="str">
        <f>IF(B3="12x36 h",(D64+D65),"")</f>
        <v/>
      </c>
      <c r="E66" s="19"/>
      <c r="F66" s="19"/>
    </row>
    <row r="67" spans="1:6" ht="15.75" customHeight="1">
      <c r="A67" s="93"/>
      <c r="B67" s="94"/>
      <c r="C67" s="95"/>
      <c r="D67" s="96"/>
    </row>
    <row r="68" spans="1:6" s="20" customFormat="1" ht="29.25" customHeight="1">
      <c r="A68" s="208" t="str">
        <f>IF(B3="12x36 h","TOTAL DE REMUNERAÇÃO + ENCARGOS SOCIAIS + INSUMOS + COBERTURA INTRAJORNADA (R$)","TOTAL DE REMUNERAÇÃO + ENCARGOS SOCIAIS + INSUMOS (R$)")</f>
        <v>TOTAL DE REMUNERAÇÃO + ENCARGOS SOCIAIS + INSUMOS (R$)</v>
      </c>
      <c r="B68" s="208"/>
      <c r="C68" s="208"/>
      <c r="D68" s="91">
        <f>ROUND(SUM(D53,D61,D66),2)</f>
        <v>0</v>
      </c>
      <c r="E68" s="19"/>
      <c r="F68" s="19"/>
    </row>
    <row r="69" spans="1:6" s="61" customFormat="1" ht="14.25" customHeight="1">
      <c r="A69" s="97"/>
      <c r="B69" s="97"/>
      <c r="C69" s="97"/>
      <c r="D69" s="99"/>
      <c r="E69" s="60"/>
      <c r="F69" s="60"/>
    </row>
    <row r="70" spans="1:6" s="20" customFormat="1" ht="16.5" customHeight="1">
      <c r="A70" s="90" t="s">
        <v>56</v>
      </c>
      <c r="B70" s="184"/>
      <c r="C70" s="184"/>
      <c r="D70" s="91"/>
      <c r="E70" s="19"/>
      <c r="F70" s="19"/>
    </row>
    <row r="71" spans="1:6" s="20" customFormat="1" ht="21.75" customHeight="1">
      <c r="A71" s="207" t="s">
        <v>57</v>
      </c>
      <c r="B71" s="207"/>
      <c r="C71" s="134"/>
      <c r="D71" s="135"/>
      <c r="E71" s="19"/>
      <c r="F71" s="19"/>
    </row>
    <row r="72" spans="1:6" s="20" customFormat="1">
      <c r="A72" s="212" t="s">
        <v>58</v>
      </c>
      <c r="B72" s="212"/>
      <c r="C72" s="136">
        <v>0.05</v>
      </c>
      <c r="D72" s="137">
        <f>ROUND(C72*D68,2)</f>
        <v>0</v>
      </c>
      <c r="E72" s="19"/>
      <c r="F72" s="19"/>
    </row>
    <row r="73" spans="1:6" s="20" customFormat="1">
      <c r="A73" s="32" t="s">
        <v>59</v>
      </c>
      <c r="B73" s="33"/>
      <c r="C73" s="34">
        <v>0.1</v>
      </c>
      <c r="D73" s="65">
        <f>ROUND(C73*D68,2)</f>
        <v>0</v>
      </c>
      <c r="E73" s="19"/>
      <c r="F73" s="19"/>
    </row>
    <row r="74" spans="1:6" s="20" customFormat="1" ht="17.25" customHeight="1">
      <c r="A74" s="208" t="s">
        <v>60</v>
      </c>
      <c r="B74" s="208"/>
      <c r="C74" s="138">
        <f>ROUND(SUM(C72:C73),5)</f>
        <v>0.15</v>
      </c>
      <c r="D74" s="139">
        <f>ROUND(D73+D72,2)</f>
        <v>0</v>
      </c>
      <c r="E74" s="19"/>
      <c r="F74" s="19"/>
    </row>
    <row r="75" spans="1:6" s="20" customFormat="1" ht="16.5" customHeight="1">
      <c r="A75" s="140"/>
      <c r="B75" s="141"/>
      <c r="C75" s="142"/>
      <c r="D75" s="143"/>
      <c r="E75" s="19"/>
      <c r="F75" s="19"/>
    </row>
    <row r="76" spans="1:6" s="20" customFormat="1" ht="18.75" customHeight="1">
      <c r="A76" s="207" t="s">
        <v>61</v>
      </c>
      <c r="B76" s="207"/>
      <c r="C76" s="134"/>
      <c r="D76" s="144"/>
      <c r="E76" s="19"/>
      <c r="F76" s="19"/>
    </row>
    <row r="77" spans="1:6" s="20" customFormat="1">
      <c r="A77" s="145" t="s">
        <v>62</v>
      </c>
      <c r="B77" s="146"/>
      <c r="C77" s="147">
        <v>0.05</v>
      </c>
      <c r="D77" s="148">
        <f>ROUND((D68+D74)/(1-C80)*C77,2)</f>
        <v>0</v>
      </c>
      <c r="E77" s="19"/>
      <c r="F77" s="19"/>
    </row>
    <row r="78" spans="1:6" s="20" customFormat="1">
      <c r="A78" s="30" t="s">
        <v>63</v>
      </c>
      <c r="B78" s="35"/>
      <c r="C78" s="81">
        <v>0.03</v>
      </c>
      <c r="D78" s="84">
        <f>ROUND((D68+D74)/(1-C80)*C78,2)</f>
        <v>0</v>
      </c>
      <c r="E78" s="19"/>
      <c r="F78" s="19"/>
    </row>
    <row r="79" spans="1:6" s="20" customFormat="1">
      <c r="A79" s="36" t="s">
        <v>64</v>
      </c>
      <c r="B79" s="37"/>
      <c r="C79" s="82">
        <v>6.4999999999999997E-3</v>
      </c>
      <c r="D79" s="86">
        <f>ROUND((D68+D74)/(1-C80)*C79,2)</f>
        <v>0</v>
      </c>
      <c r="E79" s="19"/>
      <c r="F79" s="19"/>
    </row>
    <row r="80" spans="1:6" s="20" customFormat="1" ht="20.25" customHeight="1">
      <c r="A80" s="208" t="s">
        <v>65</v>
      </c>
      <c r="B80" s="208"/>
      <c r="C80" s="149">
        <f>ROUND(SUM(C77:C79),5)</f>
        <v>8.6499999999999994E-2</v>
      </c>
      <c r="D80" s="139">
        <f>ROUND(SUM(D77:D79),2)</f>
        <v>0</v>
      </c>
      <c r="E80" s="19"/>
      <c r="F80" s="19"/>
    </row>
    <row r="81" spans="1:6" s="20" customFormat="1" ht="18" customHeight="1">
      <c r="A81" s="140"/>
      <c r="B81" s="141"/>
      <c r="C81" s="142"/>
      <c r="D81" s="143"/>
      <c r="E81" s="19"/>
      <c r="F81" s="19"/>
    </row>
    <row r="82" spans="1:6" s="20" customFormat="1" ht="20.25" customHeight="1">
      <c r="A82" s="208" t="s">
        <v>66</v>
      </c>
      <c r="B82" s="208"/>
      <c r="C82" s="150"/>
      <c r="D82" s="124">
        <f>ROUND(D68+D74+D80,2)</f>
        <v>0</v>
      </c>
      <c r="E82" s="19"/>
      <c r="F82" s="19"/>
    </row>
    <row r="83" spans="1:6">
      <c r="A83" s="209" t="s">
        <v>67</v>
      </c>
      <c r="B83" s="209"/>
      <c r="C83" s="209"/>
      <c r="D83" s="67">
        <v>1</v>
      </c>
    </row>
    <row r="84" spans="1:6" s="20" customFormat="1">
      <c r="A84" s="151" t="s">
        <v>68</v>
      </c>
      <c r="B84" s="151"/>
      <c r="C84" s="152"/>
      <c r="D84" s="153">
        <f>ROUND(D82*D83,2)</f>
        <v>0</v>
      </c>
      <c r="E84" s="19"/>
      <c r="F84" s="19"/>
    </row>
    <row r="85" spans="1:6" s="20" customFormat="1">
      <c r="A85" s="151" t="s">
        <v>69</v>
      </c>
      <c r="B85" s="151"/>
      <c r="C85" s="152"/>
      <c r="D85" s="153">
        <f>ROUND(D84*12,2)</f>
        <v>0</v>
      </c>
      <c r="E85" s="19"/>
      <c r="F85" s="19"/>
    </row>
    <row r="86" spans="1:6">
      <c r="C86" s="38"/>
    </row>
    <row r="90" spans="1:6">
      <c r="A90" s="154" t="s">
        <v>70</v>
      </c>
      <c r="B90" s="154"/>
      <c r="C90" s="155" t="s">
        <v>71</v>
      </c>
    </row>
    <row r="91" spans="1:6">
      <c r="A91" s="87" t="str">
        <f>A22</f>
        <v>TOTAL - GRUPO A - ENCARGOS</v>
      </c>
      <c r="B91" s="87"/>
      <c r="C91" s="78">
        <f>ROUND(C22,5)</f>
        <v>0.378</v>
      </c>
    </row>
    <row r="92" spans="1:6">
      <c r="A92" s="87" t="str">
        <f>A32</f>
        <v>TOTAL - GRUPO B</v>
      </c>
      <c r="B92" s="87"/>
      <c r="C92" s="78">
        <f>ROUND(C32,5)</f>
        <v>0.19356999999999999</v>
      </c>
    </row>
    <row r="93" spans="1:6">
      <c r="A93" s="87" t="str">
        <f>A39</f>
        <v xml:space="preserve">TOTAL - GRUPO C </v>
      </c>
      <c r="B93" s="87"/>
      <c r="C93" s="78">
        <f>ROUND(C39,5)</f>
        <v>6.694E-2</v>
      </c>
    </row>
    <row r="94" spans="1:6">
      <c r="A94" s="87" t="str">
        <f>A42</f>
        <v>TOTAL - GRUPO D</v>
      </c>
      <c r="B94" s="87"/>
      <c r="C94" s="78">
        <f>ROUND(C42,5)</f>
        <v>7.3169999999999999E-2</v>
      </c>
    </row>
    <row r="95" spans="1:6">
      <c r="A95" s="87" t="str">
        <f>A47</f>
        <v xml:space="preserve">TOTAL - GRUPO E </v>
      </c>
      <c r="B95" s="87"/>
      <c r="C95" s="78">
        <f>ROUND(C47,5)</f>
        <v>2.5899999999999999E-3</v>
      </c>
    </row>
    <row r="96" spans="1:6">
      <c r="A96" s="87" t="str">
        <f>A50</f>
        <v>TOTAL - GRUPO F</v>
      </c>
      <c r="B96" s="87"/>
      <c r="C96" s="78">
        <f>ROUND(C50,5)</f>
        <v>2.5200000000000001E-3</v>
      </c>
    </row>
    <row r="97" spans="1:3">
      <c r="A97" s="154" t="s">
        <v>72</v>
      </c>
      <c r="B97" s="154"/>
      <c r="C97" s="156">
        <f>ROUND(SUM(C91:C96),5)</f>
        <v>0.71679000000000004</v>
      </c>
    </row>
  </sheetData>
  <sheetProtection formatCells="0" formatColumns="0" formatRows="0" insertColumns="0" insertRows="0" insertHyperlinks="0" deleteColumns="0" deleteRows="0" sort="0" autoFilter="0" pivotTables="0"/>
  <dataConsolidate link="1"/>
  <mergeCells count="27">
    <mergeCell ref="A30:B30"/>
    <mergeCell ref="A1:D1"/>
    <mergeCell ref="A2:D2"/>
    <mergeCell ref="A8:B8"/>
    <mergeCell ref="A12:C12"/>
    <mergeCell ref="A21:B21"/>
    <mergeCell ref="A64:B64"/>
    <mergeCell ref="A36:B36"/>
    <mergeCell ref="A37:B37"/>
    <mergeCell ref="A38:B38"/>
    <mergeCell ref="A41:B41"/>
    <mergeCell ref="A44:B44"/>
    <mergeCell ref="A45:B45"/>
    <mergeCell ref="A46:B46"/>
    <mergeCell ref="A49:B49"/>
    <mergeCell ref="A53:C53"/>
    <mergeCell ref="A59:C59"/>
    <mergeCell ref="A76:B76"/>
    <mergeCell ref="A80:B80"/>
    <mergeCell ref="A82:B82"/>
    <mergeCell ref="A83:C83"/>
    <mergeCell ref="A65:B65"/>
    <mergeCell ref="A66:B66"/>
    <mergeCell ref="A68:C68"/>
    <mergeCell ref="A71:B71"/>
    <mergeCell ref="A72:B72"/>
    <mergeCell ref="A74:B74"/>
  </mergeCells>
  <dataValidations count="1">
    <dataValidation type="list" allowBlank="1" showInputMessage="1" showErrorMessage="1" promptTitle="SERVIÇO" prompt="Escolha o Serviço a ser contratado" sqref="A2" xr:uid="{A24B5844-DA3C-4FD8-9D87-AC8EA63237EF}">
      <formula1>Serviços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5AEEB1-4A70-48BF-A046-2A72D4FC4B97}">
          <x14:formula1>
            <xm:f>'Dados - Não mexer'!$C$2:$C$3</xm:f>
          </x14:formula1>
          <xm:sqref>B4</xm:sqref>
        </x14:dataValidation>
        <x14:dataValidation type="list" allowBlank="1" showInputMessage="1" showErrorMessage="1" xr:uid="{CDFB1E0C-74E1-4ABB-AF94-54CA673014C4}">
          <x14:formula1>
            <xm:f>'Dados - Não mexer'!$B$2:$B$4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715A-FC61-4D66-B279-236C5C9CC2BC}">
  <sheetPr>
    <tabColor rgb="FF92D050"/>
  </sheetPr>
  <dimension ref="A1:L97"/>
  <sheetViews>
    <sheetView showGridLines="0" zoomScale="90" zoomScaleNormal="90" workbookViewId="0">
      <selection activeCell="B6" sqref="B6"/>
    </sheetView>
  </sheetViews>
  <sheetFormatPr defaultRowHeight="15"/>
  <cols>
    <col min="1" max="1" width="38" style="5" customWidth="1"/>
    <col min="2" max="2" width="16.5703125" style="5" customWidth="1"/>
    <col min="3" max="3" width="13.140625" style="5" customWidth="1"/>
    <col min="4" max="4" width="17.7109375" style="5" customWidth="1"/>
    <col min="5" max="5" width="38.140625" style="4" customWidth="1"/>
    <col min="6" max="6" width="16.140625" style="4" customWidth="1"/>
    <col min="7" max="7" width="9.140625" style="5"/>
    <col min="8" max="9" width="9.140625" style="5" customWidth="1"/>
    <col min="10" max="16384" width="9.140625" style="5"/>
  </cols>
  <sheetData>
    <row r="1" spans="1:12">
      <c r="A1" s="220" t="s">
        <v>0</v>
      </c>
      <c r="B1" s="220"/>
      <c r="C1" s="220"/>
      <c r="D1" s="220"/>
    </row>
    <row r="2" spans="1:12">
      <c r="A2" s="221" t="s">
        <v>73</v>
      </c>
      <c r="B2" s="221"/>
      <c r="C2" s="221"/>
      <c r="D2" s="221"/>
      <c r="E2" s="31"/>
      <c r="F2" s="18"/>
      <c r="G2" s="18"/>
      <c r="H2" s="18"/>
      <c r="I2" s="18"/>
      <c r="J2" s="18"/>
    </row>
    <row r="3" spans="1:12" s="11" customFormat="1">
      <c r="A3" s="6" t="s">
        <v>2</v>
      </c>
      <c r="B3" s="7" t="s">
        <v>126</v>
      </c>
      <c r="C3" s="8"/>
      <c r="D3" s="9"/>
      <c r="E3" s="10"/>
      <c r="F3" s="10"/>
    </row>
    <row r="4" spans="1:12" s="11" customFormat="1">
      <c r="A4" s="6" t="s">
        <v>3</v>
      </c>
      <c r="B4" s="7" t="s">
        <v>4</v>
      </c>
      <c r="C4" s="9"/>
      <c r="D4" s="9"/>
      <c r="E4" s="12" t="b">
        <v>1</v>
      </c>
      <c r="F4" s="10" t="b">
        <v>1</v>
      </c>
    </row>
    <row r="5" spans="1:12" s="11" customFormat="1" ht="20.25" customHeight="1">
      <c r="A5" s="13" t="str">
        <f>IF(E4=TRUE,"Salário Mínimo local (R$)","")</f>
        <v>Salário Mínimo local (R$)</v>
      </c>
      <c r="B5" s="14">
        <v>1240</v>
      </c>
      <c r="C5" s="15"/>
      <c r="D5" s="15"/>
      <c r="E5" s="12" t="b">
        <v>0</v>
      </c>
      <c r="F5" s="10" t="b">
        <v>0</v>
      </c>
    </row>
    <row r="6" spans="1:12">
      <c r="A6" s="90" t="s">
        <v>5</v>
      </c>
      <c r="B6" s="90"/>
      <c r="C6" s="90"/>
      <c r="D6" s="90"/>
    </row>
    <row r="7" spans="1:12">
      <c r="A7" s="16" t="s">
        <v>6</v>
      </c>
      <c r="B7" s="16"/>
      <c r="C7" s="17"/>
      <c r="D7" s="62"/>
    </row>
    <row r="8" spans="1:12">
      <c r="A8" s="207" t="s">
        <v>7</v>
      </c>
      <c r="B8" s="207"/>
      <c r="C8" s="91"/>
      <c r="D8" s="92">
        <f>ROUND(SUM(D7:D7),2)</f>
        <v>0</v>
      </c>
    </row>
    <row r="9" spans="1:12" ht="8.25" customHeight="1">
      <c r="A9" s="93"/>
      <c r="B9" s="94"/>
      <c r="C9" s="95"/>
      <c r="D9" s="96"/>
    </row>
    <row r="10" spans="1:12">
      <c r="A10" s="183" t="s">
        <v>8</v>
      </c>
      <c r="B10" s="183"/>
      <c r="C10" s="91"/>
      <c r="D10" s="92">
        <f>ROUND(SUM(D8:D9),2)</f>
        <v>0</v>
      </c>
    </row>
    <row r="11" spans="1:12" ht="8.25" customHeight="1">
      <c r="A11" s="93"/>
      <c r="B11" s="94"/>
      <c r="C11" s="95"/>
      <c r="D11" s="96"/>
    </row>
    <row r="12" spans="1:12">
      <c r="A12" s="222" t="s">
        <v>9</v>
      </c>
      <c r="B12" s="222"/>
      <c r="C12" s="222"/>
      <c r="D12" s="91"/>
    </row>
    <row r="13" spans="1:12">
      <c r="A13" s="97" t="s">
        <v>10</v>
      </c>
      <c r="B13" s="97"/>
      <c r="C13" s="98"/>
      <c r="D13" s="99"/>
    </row>
    <row r="14" spans="1:12">
      <c r="A14" s="21" t="s">
        <v>11</v>
      </c>
      <c r="B14" s="18"/>
      <c r="C14" s="22">
        <v>0.2</v>
      </c>
      <c r="D14" s="83">
        <f t="shared" ref="D14:D21" si="0">ROUND(($D$8)*C14,2)</f>
        <v>0</v>
      </c>
    </row>
    <row r="15" spans="1:12">
      <c r="A15" s="21" t="s">
        <v>12</v>
      </c>
      <c r="B15" s="18"/>
      <c r="C15" s="22">
        <v>0.08</v>
      </c>
      <c r="D15" s="83">
        <f t="shared" si="0"/>
        <v>0</v>
      </c>
    </row>
    <row r="16" spans="1:12">
      <c r="A16" s="21" t="s">
        <v>13</v>
      </c>
      <c r="B16" s="18"/>
      <c r="C16" s="22">
        <v>1.4999999999999999E-2</v>
      </c>
      <c r="D16" s="83">
        <f t="shared" si="0"/>
        <v>0</v>
      </c>
      <c r="L16" s="23"/>
    </row>
    <row r="17" spans="1:6">
      <c r="A17" s="21" t="s">
        <v>14</v>
      </c>
      <c r="B17" s="18"/>
      <c r="C17" s="22">
        <v>0.01</v>
      </c>
      <c r="D17" s="83">
        <f t="shared" si="0"/>
        <v>0</v>
      </c>
    </row>
    <row r="18" spans="1:6">
      <c r="A18" s="21" t="s">
        <v>15</v>
      </c>
      <c r="B18" s="18"/>
      <c r="C18" s="22">
        <v>2E-3</v>
      </c>
      <c r="D18" s="83">
        <f t="shared" si="0"/>
        <v>0</v>
      </c>
    </row>
    <row r="19" spans="1:6">
      <c r="A19" s="21" t="s">
        <v>16</v>
      </c>
      <c r="B19" s="18"/>
      <c r="C19" s="22">
        <v>6.0000000000000001E-3</v>
      </c>
      <c r="D19" s="83">
        <f t="shared" si="0"/>
        <v>0</v>
      </c>
    </row>
    <row r="20" spans="1:6">
      <c r="A20" s="21" t="s">
        <v>17</v>
      </c>
      <c r="B20" s="18"/>
      <c r="C20" s="22">
        <v>2.5000000000000001E-2</v>
      </c>
      <c r="D20" s="83">
        <f t="shared" si="0"/>
        <v>0</v>
      </c>
    </row>
    <row r="21" spans="1:6" ht="17.25" customHeight="1">
      <c r="A21" s="223" t="s">
        <v>18</v>
      </c>
      <c r="B21" s="223"/>
      <c r="C21" s="73">
        <f>ROUND(IF(A2="Recepção",2%,3%)*F21,5)</f>
        <v>0.06</v>
      </c>
      <c r="D21" s="83">
        <f t="shared" si="0"/>
        <v>0</v>
      </c>
      <c r="E21" s="72" t="s">
        <v>19</v>
      </c>
      <c r="F21" s="71">
        <v>2</v>
      </c>
    </row>
    <row r="22" spans="1:6">
      <c r="A22" s="93" t="s">
        <v>20</v>
      </c>
      <c r="B22" s="100"/>
      <c r="C22" s="101">
        <f>ROUND(SUM(C14:C21),5)</f>
        <v>0.39800000000000002</v>
      </c>
      <c r="D22" s="102">
        <f>ROUND(SUM(D14:D21),2)</f>
        <v>0</v>
      </c>
    </row>
    <row r="23" spans="1:6">
      <c r="A23" s="103" t="s">
        <v>21</v>
      </c>
      <c r="B23" s="103"/>
      <c r="C23" s="104"/>
      <c r="D23" s="96"/>
    </row>
    <row r="24" spans="1:6">
      <c r="A24" s="105" t="s">
        <v>22</v>
      </c>
      <c r="B24" s="106"/>
      <c r="C24" s="107">
        <f>ROUND(1/12,5)</f>
        <v>8.3330000000000001E-2</v>
      </c>
      <c r="D24" s="83">
        <f t="shared" ref="D24:D31" si="1">ROUND(($D$10)*C24,2)</f>
        <v>0</v>
      </c>
    </row>
    <row r="25" spans="1:6">
      <c r="A25" s="185" t="s">
        <v>23</v>
      </c>
      <c r="B25" s="24"/>
      <c r="C25" s="74">
        <f>ROUND((1/12),5)</f>
        <v>8.3330000000000001E-2</v>
      </c>
      <c r="D25" s="83">
        <f t="shared" si="1"/>
        <v>0</v>
      </c>
    </row>
    <row r="26" spans="1:6" s="11" customFormat="1">
      <c r="A26" s="185" t="s">
        <v>24</v>
      </c>
      <c r="B26" s="24"/>
      <c r="C26" s="75">
        <f>ROUND((((100% / 30) * 7) / 12),5)</f>
        <v>1.9439999999999999E-2</v>
      </c>
      <c r="D26" s="84">
        <f t="shared" si="1"/>
        <v>0</v>
      </c>
      <c r="E26" s="10"/>
      <c r="F26" s="10"/>
    </row>
    <row r="27" spans="1:6" s="11" customFormat="1">
      <c r="A27" s="185" t="s">
        <v>25</v>
      </c>
      <c r="B27" s="24"/>
      <c r="C27" s="75">
        <f>ROUND((1462463/54796761)/12,5)</f>
        <v>2.2200000000000002E-3</v>
      </c>
      <c r="D27" s="84">
        <f t="shared" si="1"/>
        <v>0</v>
      </c>
      <c r="E27" s="10"/>
      <c r="F27" s="10"/>
    </row>
    <row r="28" spans="1:6" s="11" customFormat="1">
      <c r="A28" s="185" t="s">
        <v>26</v>
      </c>
      <c r="B28" s="24"/>
      <c r="C28" s="75">
        <f>ROUND((((100% /30) * 15) / 12) * 1.22%,5)</f>
        <v>5.1000000000000004E-4</v>
      </c>
      <c r="D28" s="84">
        <f t="shared" si="1"/>
        <v>0</v>
      </c>
      <c r="E28" s="10"/>
      <c r="F28" s="10"/>
    </row>
    <row r="29" spans="1:6" s="11" customFormat="1">
      <c r="A29" s="185" t="s">
        <v>27</v>
      </c>
      <c r="B29" s="24"/>
      <c r="C29" s="75">
        <f>ROUND(((100%/30)*1.4947)/12,5)</f>
        <v>4.15E-3</v>
      </c>
      <c r="D29" s="84">
        <f t="shared" si="1"/>
        <v>0</v>
      </c>
      <c r="E29" s="10"/>
      <c r="F29" s="10"/>
    </row>
    <row r="30" spans="1:6" s="11" customFormat="1">
      <c r="A30" s="213" t="s">
        <v>28</v>
      </c>
      <c r="B30" s="213"/>
      <c r="C30" s="75">
        <f>ROUND((8.333%*1.416%*4/12),5)</f>
        <v>3.8999999999999999E-4</v>
      </c>
      <c r="D30" s="84">
        <f t="shared" si="1"/>
        <v>0</v>
      </c>
      <c r="E30" s="10"/>
      <c r="F30" s="10"/>
    </row>
    <row r="31" spans="1:6" s="11" customFormat="1">
      <c r="A31" s="186" t="s">
        <v>29</v>
      </c>
      <c r="B31" s="69"/>
      <c r="C31" s="75">
        <f>ROUND((((100%/30)*5)/12)*1.416%,5)</f>
        <v>2.0000000000000001E-4</v>
      </c>
      <c r="D31" s="84">
        <f t="shared" si="1"/>
        <v>0</v>
      </c>
      <c r="E31" s="10"/>
      <c r="F31" s="10"/>
    </row>
    <row r="32" spans="1:6" s="26" customFormat="1">
      <c r="A32" s="108" t="s">
        <v>30</v>
      </c>
      <c r="B32" s="109"/>
      <c r="C32" s="110">
        <f>ROUND(SUM(C24:C31),5)</f>
        <v>0.19356999999999999</v>
      </c>
      <c r="D32" s="111">
        <f>ROUND(SUM(D24:D31),2)</f>
        <v>0</v>
      </c>
      <c r="E32" s="25"/>
      <c r="F32" s="25"/>
    </row>
    <row r="33" spans="1:6">
      <c r="A33" s="103" t="s">
        <v>31</v>
      </c>
      <c r="B33" s="103"/>
      <c r="C33" s="104"/>
      <c r="D33" s="96"/>
    </row>
    <row r="34" spans="1:6">
      <c r="A34" s="105" t="s">
        <v>32</v>
      </c>
      <c r="B34" s="112"/>
      <c r="C34" s="113">
        <f>ROUND(1/12*5%,5)</f>
        <v>4.1700000000000001E-3</v>
      </c>
      <c r="D34" s="83">
        <f t="shared" ref="D34:D38" si="2">ROUND(($D$10)*C34,2)</f>
        <v>0</v>
      </c>
    </row>
    <row r="35" spans="1:6" s="11" customFormat="1">
      <c r="A35" s="185" t="s">
        <v>33</v>
      </c>
      <c r="B35" s="70"/>
      <c r="C35" s="76">
        <f>ROUND(1/12*3.4275%,5)</f>
        <v>2.8600000000000001E-3</v>
      </c>
      <c r="D35" s="84">
        <f t="shared" si="2"/>
        <v>0</v>
      </c>
      <c r="E35" s="10"/>
      <c r="F35" s="10"/>
    </row>
    <row r="36" spans="1:6" ht="30" customHeight="1">
      <c r="A36" s="213" t="s">
        <v>34</v>
      </c>
      <c r="B36" s="213"/>
      <c r="C36" s="77">
        <f>ROUND(40%*8%,5)</f>
        <v>3.2000000000000001E-2</v>
      </c>
      <c r="D36" s="83">
        <f t="shared" si="2"/>
        <v>0</v>
      </c>
    </row>
    <row r="37" spans="1:6" ht="21.75" customHeight="1">
      <c r="A37" s="213" t="s">
        <v>123</v>
      </c>
      <c r="B37" s="213"/>
      <c r="C37" s="78">
        <f>ROUND(1/3*1/12,5)</f>
        <v>2.7779999999999999E-2</v>
      </c>
      <c r="D37" s="83">
        <f t="shared" si="2"/>
        <v>0</v>
      </c>
    </row>
    <row r="38" spans="1:6" ht="30" customHeight="1">
      <c r="A38" s="214" t="s">
        <v>124</v>
      </c>
      <c r="B38" s="214"/>
      <c r="C38" s="78">
        <f>ROUND(1/3*C30,5)</f>
        <v>1.2999999999999999E-4</v>
      </c>
      <c r="D38" s="83">
        <f t="shared" si="2"/>
        <v>0</v>
      </c>
      <c r="F38" s="68"/>
    </row>
    <row r="39" spans="1:6">
      <c r="A39" s="108" t="s">
        <v>35</v>
      </c>
      <c r="B39" s="114"/>
      <c r="C39" s="115">
        <f>ROUND(SUM(C34:C38),5)</f>
        <v>6.694E-2</v>
      </c>
      <c r="D39" s="111">
        <f>ROUND(SUM(D34:D38),2)</f>
        <v>0</v>
      </c>
    </row>
    <row r="40" spans="1:6">
      <c r="A40" s="97" t="s">
        <v>36</v>
      </c>
      <c r="B40" s="97"/>
      <c r="C40" s="109"/>
      <c r="D40" s="99"/>
    </row>
    <row r="41" spans="1:6" ht="22.5" customHeight="1">
      <c r="A41" s="215" t="s">
        <v>37</v>
      </c>
      <c r="B41" s="215"/>
      <c r="C41" s="116">
        <f>ROUND(C22*C32,5)</f>
        <v>7.7039999999999997E-2</v>
      </c>
      <c r="D41" s="117">
        <f>ROUND($D$10*C41,2)</f>
        <v>0</v>
      </c>
    </row>
    <row r="42" spans="1:6">
      <c r="A42" s="108" t="s">
        <v>38</v>
      </c>
      <c r="B42" s="109"/>
      <c r="C42" s="118">
        <f>ROUND(SUM(C41),5)</f>
        <v>7.7039999999999997E-2</v>
      </c>
      <c r="D42" s="111">
        <f>ROUND(SUM(D41),2)</f>
        <v>0</v>
      </c>
    </row>
    <row r="43" spans="1:6">
      <c r="A43" s="27" t="s">
        <v>39</v>
      </c>
      <c r="B43" s="27"/>
      <c r="C43" s="66"/>
      <c r="D43" s="17"/>
    </row>
    <row r="44" spans="1:6">
      <c r="A44" s="216" t="s">
        <v>40</v>
      </c>
      <c r="B44" s="216"/>
      <c r="C44" s="119">
        <f>ROUND(8%*C34,5)</f>
        <v>3.3E-4</v>
      </c>
      <c r="D44" s="120">
        <f>ROUND($D$8*C44,2)</f>
        <v>0</v>
      </c>
    </row>
    <row r="45" spans="1:6" ht="57.75" customHeight="1">
      <c r="A45" s="217" t="s">
        <v>41</v>
      </c>
      <c r="B45" s="217"/>
      <c r="C45" s="79">
        <f>ROUND(8%*C28,5)</f>
        <v>4.0000000000000003E-5</v>
      </c>
      <c r="D45" s="83">
        <f>ROUND($D$8*C45,2)</f>
        <v>0</v>
      </c>
    </row>
    <row r="46" spans="1:6" s="11" customFormat="1" ht="18" customHeight="1">
      <c r="A46" s="218" t="s">
        <v>42</v>
      </c>
      <c r="B46" s="218"/>
      <c r="C46" s="80">
        <f>ROUND(C15*C37,5)</f>
        <v>2.2200000000000002E-3</v>
      </c>
      <c r="D46" s="85">
        <f>ROUND($D$8*C46,2)</f>
        <v>0</v>
      </c>
      <c r="E46" s="10"/>
      <c r="F46" s="10"/>
    </row>
    <row r="47" spans="1:6">
      <c r="A47" s="93" t="s">
        <v>43</v>
      </c>
      <c r="B47" s="94"/>
      <c r="C47" s="115">
        <f>ROUND(SUM(C44:C46),5)</f>
        <v>2.5899999999999999E-3</v>
      </c>
      <c r="D47" s="102">
        <f>ROUND(SUM(D44:D46),2)</f>
        <v>0</v>
      </c>
    </row>
    <row r="48" spans="1:6">
      <c r="A48" s="103" t="s">
        <v>44</v>
      </c>
      <c r="B48" s="103"/>
      <c r="C48" s="104"/>
      <c r="D48" s="96"/>
    </row>
    <row r="49" spans="1:6" ht="49.5" customHeight="1">
      <c r="A49" s="219" t="s">
        <v>45</v>
      </c>
      <c r="B49" s="219"/>
      <c r="C49" s="73">
        <f>ROUND(C22*(4/12)*2/100,5)</f>
        <v>2.65E-3</v>
      </c>
      <c r="D49" s="63">
        <f>ROUND($D$8*C49,2)</f>
        <v>0</v>
      </c>
    </row>
    <row r="50" spans="1:6">
      <c r="A50" s="93" t="s">
        <v>46</v>
      </c>
      <c r="B50" s="94"/>
      <c r="C50" s="121">
        <f>ROUND(SUM(C49),5)</f>
        <v>2.65E-3</v>
      </c>
      <c r="D50" s="102">
        <f>ROUND(SUM(D49),2)</f>
        <v>0</v>
      </c>
    </row>
    <row r="51" spans="1:6">
      <c r="A51" s="183" t="s">
        <v>47</v>
      </c>
      <c r="B51" s="122"/>
      <c r="C51" s="123">
        <f>ROUND(C50+C47+C42+C39+C32+C22,5)</f>
        <v>0.74078999999999995</v>
      </c>
      <c r="D51" s="124">
        <f>ROUND(D50+D47+D42+D39+D32+D22,2)</f>
        <v>0</v>
      </c>
    </row>
    <row r="52" spans="1:6" ht="8.25" customHeight="1">
      <c r="A52" s="93"/>
      <c r="B52" s="94"/>
      <c r="C52" s="95"/>
      <c r="D52" s="102"/>
    </row>
    <row r="53" spans="1:6" s="45" customFormat="1" ht="16.5" customHeight="1">
      <c r="A53" s="207" t="s">
        <v>48</v>
      </c>
      <c r="B53" s="207"/>
      <c r="C53" s="207"/>
      <c r="D53" s="124">
        <f>ROUND(D51+D10,2)</f>
        <v>0</v>
      </c>
      <c r="E53" s="125"/>
      <c r="F53" s="126"/>
    </row>
    <row r="54" spans="1:6" ht="8.25" customHeight="1">
      <c r="A54" s="93"/>
      <c r="B54" s="94"/>
      <c r="C54" s="95"/>
      <c r="D54" s="96"/>
    </row>
    <row r="55" spans="1:6">
      <c r="A55" s="183" t="s">
        <v>49</v>
      </c>
      <c r="B55" s="183"/>
      <c r="C55" s="127"/>
      <c r="D55" s="128"/>
    </row>
    <row r="56" spans="1:6">
      <c r="A56" s="28" t="s">
        <v>50</v>
      </c>
      <c r="B56" s="28"/>
      <c r="C56" s="29"/>
      <c r="D56" s="64"/>
    </row>
    <row r="57" spans="1:6">
      <c r="A57" s="30" t="s">
        <v>51</v>
      </c>
      <c r="B57" s="30"/>
      <c r="C57" s="29"/>
      <c r="D57" s="64"/>
    </row>
    <row r="58" spans="1:6">
      <c r="A58" s="28" t="s">
        <v>52</v>
      </c>
      <c r="B58" s="28"/>
      <c r="C58" s="29"/>
      <c r="D58" s="64"/>
    </row>
    <row r="59" spans="1:6" ht="15" customHeight="1">
      <c r="A59" s="213" t="s">
        <v>53</v>
      </c>
      <c r="B59" s="213"/>
      <c r="C59" s="213"/>
      <c r="D59" s="64">
        <f>-6%*D7</f>
        <v>0</v>
      </c>
    </row>
    <row r="60" spans="1:6">
      <c r="A60" s="28" t="s">
        <v>54</v>
      </c>
      <c r="B60" s="28"/>
      <c r="C60" s="29"/>
      <c r="D60" s="64"/>
    </row>
    <row r="61" spans="1:6" s="20" customFormat="1">
      <c r="A61" s="129" t="s">
        <v>55</v>
      </c>
      <c r="B61" s="130"/>
      <c r="C61" s="127"/>
      <c r="D61" s="128">
        <f>ROUND(SUM(D56:D60),2)</f>
        <v>0</v>
      </c>
      <c r="E61" s="19"/>
      <c r="F61" s="19"/>
    </row>
    <row r="62" spans="1:6" ht="16.5" customHeight="1">
      <c r="A62" s="93"/>
      <c r="B62" s="94"/>
      <c r="C62" s="95"/>
      <c r="D62" s="96"/>
    </row>
    <row r="63" spans="1:6" s="20" customFormat="1">
      <c r="A63" s="183" t="str">
        <f>IF(B3="12x36 h","IV - COBERTURA INTRAJORNADA","")</f>
        <v/>
      </c>
      <c r="B63" s="183"/>
      <c r="C63" s="127"/>
      <c r="D63" s="128"/>
      <c r="E63" s="19"/>
      <c r="F63" s="19"/>
    </row>
    <row r="64" spans="1:6" s="20" customFormat="1" ht="18" customHeight="1">
      <c r="A64" s="210" t="str">
        <f>IF($B$3="12x36 h","Remuneração + encargos sociais + insumos","")</f>
        <v/>
      </c>
      <c r="B64" s="210"/>
      <c r="C64" s="131"/>
      <c r="D64" s="132" t="str">
        <f>IF(B3="12X36 H",(($D$61+($D$53-D58+D59)))/220*3*7*4.345/2,"")</f>
        <v/>
      </c>
      <c r="E64" s="19"/>
      <c r="F64" s="19"/>
    </row>
    <row r="65" spans="1:6" s="20" customFormat="1" ht="18" customHeight="1">
      <c r="A65" s="210" t="str">
        <f>IF(B3="12x36 h","Vale transporte - cobertura intrajornada","")</f>
        <v/>
      </c>
      <c r="B65" s="210"/>
      <c r="C65" s="131"/>
      <c r="D65" s="132" t="str">
        <f>IF(B3="12X36 H",D58,"")</f>
        <v/>
      </c>
      <c r="E65" s="19"/>
      <c r="F65" s="19"/>
    </row>
    <row r="66" spans="1:6" s="20" customFormat="1">
      <c r="A66" s="211" t="str">
        <f>IF(B3="12x36 h","TOTAL COBERTURA INTRAJORNADA (R$)","")</f>
        <v/>
      </c>
      <c r="B66" s="211"/>
      <c r="C66" s="133"/>
      <c r="D66" s="128" t="str">
        <f>IF(B3="12x36 h",(D64+D65),"")</f>
        <v/>
      </c>
      <c r="E66" s="19"/>
      <c r="F66" s="19"/>
    </row>
    <row r="67" spans="1:6" ht="15.75" customHeight="1">
      <c r="A67" s="93"/>
      <c r="B67" s="94"/>
      <c r="C67" s="95"/>
      <c r="D67" s="96"/>
    </row>
    <row r="68" spans="1:6" s="20" customFormat="1" ht="29.25" customHeight="1">
      <c r="A68" s="208" t="str">
        <f>IF(B3="12x36 h","TOTAL DE REMUNERAÇÃO + ENCARGOS SOCIAIS + INSUMOS + COBERTURA INTRAJORNADA (R$)","TOTAL DE REMUNERAÇÃO + ENCARGOS SOCIAIS + INSUMOS (R$)")</f>
        <v>TOTAL DE REMUNERAÇÃO + ENCARGOS SOCIAIS + INSUMOS (R$)</v>
      </c>
      <c r="B68" s="208"/>
      <c r="C68" s="208"/>
      <c r="D68" s="91">
        <f>ROUND(SUM(D53,D61,D66),2)</f>
        <v>0</v>
      </c>
      <c r="E68" s="19"/>
      <c r="F68" s="19"/>
    </row>
    <row r="69" spans="1:6" s="61" customFormat="1" ht="14.25" customHeight="1">
      <c r="A69" s="97"/>
      <c r="B69" s="97"/>
      <c r="C69" s="97"/>
      <c r="D69" s="99"/>
      <c r="E69" s="60"/>
      <c r="F69" s="60"/>
    </row>
    <row r="70" spans="1:6" s="20" customFormat="1" ht="16.5" customHeight="1">
      <c r="A70" s="90" t="s">
        <v>56</v>
      </c>
      <c r="B70" s="184"/>
      <c r="C70" s="184"/>
      <c r="D70" s="91"/>
      <c r="E70" s="19"/>
      <c r="F70" s="19"/>
    </row>
    <row r="71" spans="1:6" s="20" customFormat="1" ht="21.75" customHeight="1">
      <c r="A71" s="207" t="s">
        <v>57</v>
      </c>
      <c r="B71" s="207"/>
      <c r="C71" s="134"/>
      <c r="D71" s="135"/>
      <c r="E71" s="19"/>
      <c r="F71" s="19"/>
    </row>
    <row r="72" spans="1:6" s="20" customFormat="1">
      <c r="A72" s="212" t="s">
        <v>58</v>
      </c>
      <c r="B72" s="212"/>
      <c r="C72" s="136">
        <v>0.05</v>
      </c>
      <c r="D72" s="137">
        <f>ROUND(C72*D68,2)</f>
        <v>0</v>
      </c>
      <c r="E72" s="19"/>
      <c r="F72" s="19"/>
    </row>
    <row r="73" spans="1:6" s="20" customFormat="1">
      <c r="A73" s="32" t="s">
        <v>59</v>
      </c>
      <c r="B73" s="33"/>
      <c r="C73" s="34">
        <v>0.1</v>
      </c>
      <c r="D73" s="65">
        <f>ROUND(C73*D68,2)</f>
        <v>0</v>
      </c>
      <c r="E73" s="19"/>
      <c r="F73" s="19"/>
    </row>
    <row r="74" spans="1:6" s="20" customFormat="1" ht="17.25" customHeight="1">
      <c r="A74" s="208" t="s">
        <v>60</v>
      </c>
      <c r="B74" s="208"/>
      <c r="C74" s="138">
        <f>ROUND(SUM(C72:C73),5)</f>
        <v>0.15</v>
      </c>
      <c r="D74" s="139">
        <f>ROUND(D73+D72,2)</f>
        <v>0</v>
      </c>
      <c r="E74" s="19"/>
      <c r="F74" s="19"/>
    </row>
    <row r="75" spans="1:6" s="20" customFormat="1" ht="16.5" customHeight="1">
      <c r="A75" s="140"/>
      <c r="B75" s="141"/>
      <c r="C75" s="142"/>
      <c r="D75" s="143"/>
      <c r="E75" s="19"/>
      <c r="F75" s="19"/>
    </row>
    <row r="76" spans="1:6" s="20" customFormat="1" ht="18.75" customHeight="1">
      <c r="A76" s="207" t="s">
        <v>61</v>
      </c>
      <c r="B76" s="207"/>
      <c r="C76" s="134"/>
      <c r="D76" s="144"/>
      <c r="E76" s="19"/>
      <c r="F76" s="19"/>
    </row>
    <row r="77" spans="1:6" s="20" customFormat="1">
      <c r="A77" s="145" t="s">
        <v>62</v>
      </c>
      <c r="B77" s="146"/>
      <c r="C77" s="147">
        <v>0.05</v>
      </c>
      <c r="D77" s="148">
        <f>ROUND((D68+D74)/(1-C80)*C77,2)</f>
        <v>0</v>
      </c>
      <c r="E77" s="19"/>
      <c r="F77" s="19"/>
    </row>
    <row r="78" spans="1:6" s="20" customFormat="1">
      <c r="A78" s="30" t="s">
        <v>63</v>
      </c>
      <c r="B78" s="35"/>
      <c r="C78" s="81">
        <v>0.03</v>
      </c>
      <c r="D78" s="84">
        <f>ROUND((D68+D74)/(1-C80)*C78,2)</f>
        <v>0</v>
      </c>
      <c r="E78" s="19"/>
      <c r="F78" s="19"/>
    </row>
    <row r="79" spans="1:6" s="20" customFormat="1">
      <c r="A79" s="36" t="s">
        <v>64</v>
      </c>
      <c r="B79" s="37"/>
      <c r="C79" s="82">
        <v>6.4999999999999997E-3</v>
      </c>
      <c r="D79" s="86">
        <f>ROUND((D68+D74)/(1-C80)*C79,2)</f>
        <v>0</v>
      </c>
      <c r="E79" s="19"/>
      <c r="F79" s="19"/>
    </row>
    <row r="80" spans="1:6" s="20" customFormat="1" ht="20.25" customHeight="1">
      <c r="A80" s="208" t="s">
        <v>65</v>
      </c>
      <c r="B80" s="208"/>
      <c r="C80" s="149">
        <f>ROUND(SUM(C77:C79),5)</f>
        <v>8.6499999999999994E-2</v>
      </c>
      <c r="D80" s="139">
        <f>ROUND(SUM(D77:D79),2)</f>
        <v>0</v>
      </c>
      <c r="E80" s="19"/>
      <c r="F80" s="19"/>
    </row>
    <row r="81" spans="1:6" s="20" customFormat="1" ht="18" customHeight="1">
      <c r="A81" s="140"/>
      <c r="B81" s="141"/>
      <c r="C81" s="142"/>
      <c r="D81" s="143"/>
      <c r="E81" s="19"/>
      <c r="F81" s="19"/>
    </row>
    <row r="82" spans="1:6" s="20" customFormat="1" ht="20.25" customHeight="1">
      <c r="A82" s="208" t="s">
        <v>66</v>
      </c>
      <c r="B82" s="208"/>
      <c r="C82" s="150"/>
      <c r="D82" s="124">
        <f>ROUND(D68+D74+D80,2)</f>
        <v>0</v>
      </c>
      <c r="E82" s="19"/>
      <c r="F82" s="19"/>
    </row>
    <row r="83" spans="1:6">
      <c r="A83" s="209" t="s">
        <v>67</v>
      </c>
      <c r="B83" s="209"/>
      <c r="C83" s="209"/>
      <c r="D83" s="67">
        <v>1</v>
      </c>
    </row>
    <row r="84" spans="1:6" s="20" customFormat="1">
      <c r="A84" s="151" t="s">
        <v>68</v>
      </c>
      <c r="B84" s="151"/>
      <c r="C84" s="152"/>
      <c r="D84" s="153">
        <f>ROUND(D82*D83,2)</f>
        <v>0</v>
      </c>
      <c r="E84" s="19"/>
      <c r="F84" s="19"/>
    </row>
    <row r="85" spans="1:6" s="20" customFormat="1">
      <c r="A85" s="151" t="s">
        <v>69</v>
      </c>
      <c r="B85" s="151"/>
      <c r="C85" s="152"/>
      <c r="D85" s="153">
        <f>ROUND(D84*1,2)</f>
        <v>0</v>
      </c>
      <c r="E85" s="19"/>
      <c r="F85" s="19"/>
    </row>
    <row r="86" spans="1:6">
      <c r="C86" s="38"/>
    </row>
    <row r="90" spans="1:6">
      <c r="A90" s="154" t="s">
        <v>70</v>
      </c>
      <c r="B90" s="154"/>
      <c r="C90" s="155" t="s">
        <v>71</v>
      </c>
    </row>
    <row r="91" spans="1:6">
      <c r="A91" s="87" t="str">
        <f>A22</f>
        <v>TOTAL - GRUPO A - ENCARGOS</v>
      </c>
      <c r="B91" s="87"/>
      <c r="C91" s="78">
        <f>ROUND(C22,5)</f>
        <v>0.39800000000000002</v>
      </c>
    </row>
    <row r="92" spans="1:6">
      <c r="A92" s="87" t="str">
        <f>A32</f>
        <v>TOTAL - GRUPO B</v>
      </c>
      <c r="B92" s="87"/>
      <c r="C92" s="78">
        <f>ROUND(C32,5)</f>
        <v>0.19356999999999999</v>
      </c>
    </row>
    <row r="93" spans="1:6">
      <c r="A93" s="87" t="str">
        <f>A39</f>
        <v xml:space="preserve">TOTAL - GRUPO C </v>
      </c>
      <c r="B93" s="87"/>
      <c r="C93" s="78">
        <f>ROUND(C39,5)</f>
        <v>6.694E-2</v>
      </c>
    </row>
    <row r="94" spans="1:6">
      <c r="A94" s="87" t="str">
        <f>A42</f>
        <v>TOTAL - GRUPO D</v>
      </c>
      <c r="B94" s="87"/>
      <c r="C94" s="78">
        <f>ROUND(C42,5)</f>
        <v>7.7039999999999997E-2</v>
      </c>
    </row>
    <row r="95" spans="1:6">
      <c r="A95" s="87" t="str">
        <f>A47</f>
        <v xml:space="preserve">TOTAL - GRUPO E </v>
      </c>
      <c r="B95" s="87"/>
      <c r="C95" s="78">
        <f>ROUND(C47,5)</f>
        <v>2.5899999999999999E-3</v>
      </c>
    </row>
    <row r="96" spans="1:6">
      <c r="A96" s="87" t="str">
        <f>A50</f>
        <v>TOTAL - GRUPO F</v>
      </c>
      <c r="B96" s="87"/>
      <c r="C96" s="78">
        <f>ROUND(C50,5)</f>
        <v>2.65E-3</v>
      </c>
    </row>
    <row r="97" spans="1:3">
      <c r="A97" s="154" t="s">
        <v>72</v>
      </c>
      <c r="B97" s="154"/>
      <c r="C97" s="156">
        <f>ROUND(SUM(C91:C96),5)</f>
        <v>0.74078999999999995</v>
      </c>
    </row>
  </sheetData>
  <sheetProtection formatCells="0" formatColumns="0" formatRows="0" insertColumns="0" insertRows="0" insertHyperlinks="0" deleteColumns="0" deleteRows="0" sort="0" autoFilter="0" pivotTables="0"/>
  <dataConsolidate link="1"/>
  <mergeCells count="27">
    <mergeCell ref="A30:B30"/>
    <mergeCell ref="A1:D1"/>
    <mergeCell ref="A2:D2"/>
    <mergeCell ref="A8:B8"/>
    <mergeCell ref="A12:C12"/>
    <mergeCell ref="A21:B21"/>
    <mergeCell ref="A64:B64"/>
    <mergeCell ref="A36:B36"/>
    <mergeCell ref="A37:B37"/>
    <mergeCell ref="A38:B38"/>
    <mergeCell ref="A41:B41"/>
    <mergeCell ref="A44:B44"/>
    <mergeCell ref="A45:B45"/>
    <mergeCell ref="A46:B46"/>
    <mergeCell ref="A49:B49"/>
    <mergeCell ref="A53:C53"/>
    <mergeCell ref="A59:C59"/>
    <mergeCell ref="A76:B76"/>
    <mergeCell ref="A80:B80"/>
    <mergeCell ref="A82:B82"/>
    <mergeCell ref="A83:C83"/>
    <mergeCell ref="A65:B65"/>
    <mergeCell ref="A66:B66"/>
    <mergeCell ref="A68:C68"/>
    <mergeCell ref="A71:B71"/>
    <mergeCell ref="A72:B72"/>
    <mergeCell ref="A74:B74"/>
  </mergeCells>
  <dataValidations count="1">
    <dataValidation type="list" allowBlank="1" showInputMessage="1" showErrorMessage="1" promptTitle="SERVIÇO" prompt="Escolha o Serviço a ser contratado" sqref="A2" xr:uid="{EEAD89CB-6A85-40DA-9BB7-D80199ED9E26}">
      <formula1>Serviços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4A33267-2364-4843-A645-476191A000EB}">
          <x14:formula1>
            <xm:f>'Dados - Não mexer'!$C$2:$C$3</xm:f>
          </x14:formula1>
          <xm:sqref>B4</xm:sqref>
        </x14:dataValidation>
        <x14:dataValidation type="list" allowBlank="1" showInputMessage="1" showErrorMessage="1" xr:uid="{7ED9DF2D-4E6B-4539-8BB6-1596C3E10398}">
          <x14:formula1>
            <xm:f>'Dados - Não mexer'!$B$2:$B$4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9">
    <tabColor rgb="FF92D050"/>
  </sheetPr>
  <dimension ref="A1:L97"/>
  <sheetViews>
    <sheetView showGridLines="0" zoomScale="90" zoomScaleNormal="90" workbookViewId="0">
      <selection activeCell="D7" sqref="D7"/>
    </sheetView>
  </sheetViews>
  <sheetFormatPr defaultRowHeight="15"/>
  <cols>
    <col min="1" max="1" width="38" style="5" customWidth="1"/>
    <col min="2" max="2" width="16.5703125" style="5" customWidth="1"/>
    <col min="3" max="3" width="13.140625" style="5" customWidth="1"/>
    <col min="4" max="4" width="17.7109375" style="5" customWidth="1"/>
    <col min="5" max="5" width="38.140625" style="4" customWidth="1"/>
    <col min="6" max="6" width="16.140625" style="4" customWidth="1"/>
    <col min="7" max="7" width="9.140625" style="5"/>
    <col min="8" max="9" width="9.140625" style="5" customWidth="1"/>
    <col min="10" max="16384" width="9.140625" style="5"/>
  </cols>
  <sheetData>
    <row r="1" spans="1:12">
      <c r="A1" s="220" t="s">
        <v>0</v>
      </c>
      <c r="B1" s="220"/>
      <c r="C1" s="220"/>
      <c r="D1" s="220"/>
    </row>
    <row r="2" spans="1:12">
      <c r="A2" s="221" t="s">
        <v>125</v>
      </c>
      <c r="B2" s="221"/>
      <c r="C2" s="221"/>
      <c r="D2" s="221"/>
      <c r="E2" s="31"/>
      <c r="F2" s="18"/>
      <c r="G2" s="18"/>
      <c r="H2" s="18"/>
      <c r="I2" s="18"/>
    </row>
    <row r="3" spans="1:12" s="11" customFormat="1">
      <c r="A3" s="6" t="s">
        <v>2</v>
      </c>
      <c r="B3" s="7" t="s">
        <v>126</v>
      </c>
      <c r="C3" s="8"/>
      <c r="D3" s="9"/>
      <c r="E3" s="10"/>
      <c r="F3" s="10"/>
    </row>
    <row r="4" spans="1:12" s="11" customFormat="1">
      <c r="A4" s="6" t="s">
        <v>3</v>
      </c>
      <c r="B4" s="7" t="s">
        <v>4</v>
      </c>
      <c r="C4" s="9"/>
      <c r="D4" s="9"/>
      <c r="E4" s="12" t="b">
        <v>1</v>
      </c>
      <c r="F4" s="10" t="b">
        <v>1</v>
      </c>
    </row>
    <row r="5" spans="1:12" s="11" customFormat="1" ht="20.25" customHeight="1">
      <c r="A5" s="13" t="str">
        <f>IF(E4=TRUE,"Salário Mínimo local (R$)","")</f>
        <v>Salário Mínimo local (R$)</v>
      </c>
      <c r="B5" s="14">
        <v>1368.89</v>
      </c>
      <c r="C5" s="15"/>
      <c r="D5" s="15"/>
      <c r="E5" s="12" t="b">
        <v>0</v>
      </c>
      <c r="F5" s="10" t="b">
        <v>0</v>
      </c>
    </row>
    <row r="6" spans="1:12">
      <c r="A6" s="90" t="s">
        <v>5</v>
      </c>
      <c r="B6" s="90"/>
      <c r="C6" s="90"/>
      <c r="D6" s="90"/>
    </row>
    <row r="7" spans="1:12">
      <c r="A7" s="16" t="s">
        <v>6</v>
      </c>
      <c r="B7" s="16"/>
      <c r="C7" s="17"/>
      <c r="D7" s="14"/>
    </row>
    <row r="8" spans="1:12">
      <c r="A8" s="207" t="s">
        <v>7</v>
      </c>
      <c r="B8" s="207"/>
      <c r="C8" s="91"/>
      <c r="D8" s="92">
        <f>ROUND(SUM(D7:D7),2)</f>
        <v>0</v>
      </c>
    </row>
    <row r="9" spans="1:12" ht="8.25" customHeight="1">
      <c r="A9" s="93"/>
      <c r="B9" s="94"/>
      <c r="C9" s="95"/>
      <c r="D9" s="96"/>
    </row>
    <row r="10" spans="1:12">
      <c r="A10" s="183" t="s">
        <v>8</v>
      </c>
      <c r="B10" s="183"/>
      <c r="C10" s="91"/>
      <c r="D10" s="92">
        <f>ROUND(SUM(D8:D9),2)</f>
        <v>0</v>
      </c>
    </row>
    <row r="11" spans="1:12" ht="8.25" customHeight="1">
      <c r="A11" s="93"/>
      <c r="B11" s="94"/>
      <c r="C11" s="95"/>
      <c r="D11" s="96"/>
    </row>
    <row r="12" spans="1:12">
      <c r="A12" s="222" t="s">
        <v>9</v>
      </c>
      <c r="B12" s="222"/>
      <c r="C12" s="222"/>
      <c r="D12" s="91"/>
    </row>
    <row r="13" spans="1:12">
      <c r="A13" s="97" t="s">
        <v>10</v>
      </c>
      <c r="B13" s="97"/>
      <c r="C13" s="98"/>
      <c r="D13" s="99"/>
    </row>
    <row r="14" spans="1:12">
      <c r="A14" s="21" t="s">
        <v>11</v>
      </c>
      <c r="B14" s="18"/>
      <c r="C14" s="22">
        <v>0.2</v>
      </c>
      <c r="D14" s="83">
        <f t="shared" ref="D14:D21" si="0">ROUND(($D$8)*C14,2)</f>
        <v>0</v>
      </c>
    </row>
    <row r="15" spans="1:12">
      <c r="A15" s="21" t="s">
        <v>12</v>
      </c>
      <c r="B15" s="18"/>
      <c r="C15" s="22">
        <v>0.08</v>
      </c>
      <c r="D15" s="83">
        <f t="shared" si="0"/>
        <v>0</v>
      </c>
    </row>
    <row r="16" spans="1:12">
      <c r="A16" s="21" t="s">
        <v>13</v>
      </c>
      <c r="B16" s="18"/>
      <c r="C16" s="22">
        <v>1.4999999999999999E-2</v>
      </c>
      <c r="D16" s="83">
        <f t="shared" si="0"/>
        <v>0</v>
      </c>
      <c r="L16" s="23"/>
    </row>
    <row r="17" spans="1:6">
      <c r="A17" s="21" t="s">
        <v>14</v>
      </c>
      <c r="B17" s="18"/>
      <c r="C17" s="22">
        <v>0.01</v>
      </c>
      <c r="D17" s="83">
        <f t="shared" si="0"/>
        <v>0</v>
      </c>
    </row>
    <row r="18" spans="1:6">
      <c r="A18" s="21" t="s">
        <v>15</v>
      </c>
      <c r="B18" s="18"/>
      <c r="C18" s="22">
        <v>2E-3</v>
      </c>
      <c r="D18" s="83">
        <f t="shared" si="0"/>
        <v>0</v>
      </c>
    </row>
    <row r="19" spans="1:6">
      <c r="A19" s="21" t="s">
        <v>16</v>
      </c>
      <c r="B19" s="18"/>
      <c r="C19" s="22">
        <v>6.0000000000000001E-3</v>
      </c>
      <c r="D19" s="83">
        <f t="shared" si="0"/>
        <v>0</v>
      </c>
    </row>
    <row r="20" spans="1:6">
      <c r="A20" s="21" t="s">
        <v>17</v>
      </c>
      <c r="B20" s="18"/>
      <c r="C20" s="22">
        <v>2.5000000000000001E-2</v>
      </c>
      <c r="D20" s="83">
        <f t="shared" si="0"/>
        <v>0</v>
      </c>
    </row>
    <row r="21" spans="1:6" ht="17.25" customHeight="1">
      <c r="A21" s="223" t="s">
        <v>18</v>
      </c>
      <c r="B21" s="223"/>
      <c r="C21" s="73">
        <f>ROUND(IF(A2="Recepção",2%,3%)*F21,5)</f>
        <v>0.06</v>
      </c>
      <c r="D21" s="83">
        <f t="shared" si="0"/>
        <v>0</v>
      </c>
      <c r="E21" s="72" t="s">
        <v>19</v>
      </c>
      <c r="F21" s="71">
        <v>2</v>
      </c>
    </row>
    <row r="22" spans="1:6">
      <c r="A22" s="93" t="s">
        <v>20</v>
      </c>
      <c r="B22" s="100"/>
      <c r="C22" s="101">
        <f>ROUND(SUM(C14:C21),5)</f>
        <v>0.39800000000000002</v>
      </c>
      <c r="D22" s="102">
        <f>ROUND(SUM(D14:D21),2)</f>
        <v>0</v>
      </c>
    </row>
    <row r="23" spans="1:6">
      <c r="A23" s="103" t="s">
        <v>21</v>
      </c>
      <c r="B23" s="103"/>
      <c r="C23" s="104"/>
      <c r="D23" s="96"/>
    </row>
    <row r="24" spans="1:6">
      <c r="A24" s="105" t="s">
        <v>22</v>
      </c>
      <c r="B24" s="106"/>
      <c r="C24" s="107">
        <f>ROUND(1/12,5)</f>
        <v>8.3330000000000001E-2</v>
      </c>
      <c r="D24" s="83">
        <f t="shared" ref="D24:D31" si="1">ROUND(($D$10)*C24,2)</f>
        <v>0</v>
      </c>
    </row>
    <row r="25" spans="1:6">
      <c r="A25" s="185" t="s">
        <v>23</v>
      </c>
      <c r="B25" s="24"/>
      <c r="C25" s="74">
        <f>ROUND((1/12),5)</f>
        <v>8.3330000000000001E-2</v>
      </c>
      <c r="D25" s="83">
        <f t="shared" si="1"/>
        <v>0</v>
      </c>
    </row>
    <row r="26" spans="1:6" s="11" customFormat="1">
      <c r="A26" s="185" t="s">
        <v>24</v>
      </c>
      <c r="B26" s="24"/>
      <c r="C26" s="75">
        <f>ROUND((((100% / 30) * 7) / 12),5)</f>
        <v>1.9439999999999999E-2</v>
      </c>
      <c r="D26" s="84">
        <f t="shared" si="1"/>
        <v>0</v>
      </c>
      <c r="E26" s="10"/>
      <c r="F26" s="10"/>
    </row>
    <row r="27" spans="1:6" s="11" customFormat="1">
      <c r="A27" s="185" t="s">
        <v>25</v>
      </c>
      <c r="B27" s="24"/>
      <c r="C27" s="75">
        <f>ROUND((1462463/54796761)/12,5)</f>
        <v>2.2200000000000002E-3</v>
      </c>
      <c r="D27" s="84">
        <f t="shared" si="1"/>
        <v>0</v>
      </c>
      <c r="E27" s="10"/>
      <c r="F27" s="10"/>
    </row>
    <row r="28" spans="1:6" s="11" customFormat="1">
      <c r="A28" s="185" t="s">
        <v>26</v>
      </c>
      <c r="B28" s="24"/>
      <c r="C28" s="75">
        <f>ROUND((((100% /30) * 15) / 12) * 1.22%,5)</f>
        <v>5.1000000000000004E-4</v>
      </c>
      <c r="D28" s="84">
        <f t="shared" si="1"/>
        <v>0</v>
      </c>
      <c r="E28" s="10"/>
      <c r="F28" s="10"/>
    </row>
    <row r="29" spans="1:6" s="11" customFormat="1">
      <c r="A29" s="185" t="s">
        <v>27</v>
      </c>
      <c r="B29" s="24"/>
      <c r="C29" s="75">
        <f>ROUND(((100%/30)*1.4947)/12,5)</f>
        <v>4.15E-3</v>
      </c>
      <c r="D29" s="84">
        <f t="shared" si="1"/>
        <v>0</v>
      </c>
      <c r="E29" s="10"/>
      <c r="F29" s="10"/>
    </row>
    <row r="30" spans="1:6" s="11" customFormat="1">
      <c r="A30" s="213" t="s">
        <v>28</v>
      </c>
      <c r="B30" s="213"/>
      <c r="C30" s="75">
        <f>ROUND((8.333%*1.416%*4/12),5)</f>
        <v>3.8999999999999999E-4</v>
      </c>
      <c r="D30" s="84">
        <f t="shared" si="1"/>
        <v>0</v>
      </c>
      <c r="E30" s="10"/>
      <c r="F30" s="10"/>
    </row>
    <row r="31" spans="1:6" s="11" customFormat="1">
      <c r="A31" s="186" t="s">
        <v>29</v>
      </c>
      <c r="B31" s="69"/>
      <c r="C31" s="75">
        <f>ROUND((((100%/30)*5)/12)*1.416%,5)</f>
        <v>2.0000000000000001E-4</v>
      </c>
      <c r="D31" s="84">
        <f t="shared" si="1"/>
        <v>0</v>
      </c>
      <c r="E31" s="10"/>
      <c r="F31" s="10"/>
    </row>
    <row r="32" spans="1:6" s="26" customFormat="1">
      <c r="A32" s="108" t="s">
        <v>30</v>
      </c>
      <c r="B32" s="109"/>
      <c r="C32" s="110">
        <f>ROUND(SUM(C24:C31),5)</f>
        <v>0.19356999999999999</v>
      </c>
      <c r="D32" s="111">
        <f>ROUND(SUM(D24:D31),2)</f>
        <v>0</v>
      </c>
      <c r="E32" s="25"/>
      <c r="F32" s="25"/>
    </row>
    <row r="33" spans="1:6">
      <c r="A33" s="103" t="s">
        <v>31</v>
      </c>
      <c r="B33" s="103"/>
      <c r="C33" s="104"/>
      <c r="D33" s="96"/>
    </row>
    <row r="34" spans="1:6">
      <c r="A34" s="105" t="s">
        <v>32</v>
      </c>
      <c r="B34" s="112"/>
      <c r="C34" s="113">
        <f>ROUND(1/12*5%,5)</f>
        <v>4.1700000000000001E-3</v>
      </c>
      <c r="D34" s="83">
        <f t="shared" ref="D34:D38" si="2">ROUND(($D$10)*C34,2)</f>
        <v>0</v>
      </c>
    </row>
    <row r="35" spans="1:6" s="11" customFormat="1">
      <c r="A35" s="185" t="s">
        <v>33</v>
      </c>
      <c r="B35" s="70"/>
      <c r="C35" s="76">
        <f>ROUND(1/12*3.4275%,5)</f>
        <v>2.8600000000000001E-3</v>
      </c>
      <c r="D35" s="84">
        <f t="shared" si="2"/>
        <v>0</v>
      </c>
      <c r="E35" s="10"/>
      <c r="F35" s="10"/>
    </row>
    <row r="36" spans="1:6" ht="30" customHeight="1">
      <c r="A36" s="213" t="s">
        <v>34</v>
      </c>
      <c r="B36" s="213"/>
      <c r="C36" s="77">
        <f>ROUND(40%*8%,5)</f>
        <v>3.2000000000000001E-2</v>
      </c>
      <c r="D36" s="83">
        <f t="shared" si="2"/>
        <v>0</v>
      </c>
    </row>
    <row r="37" spans="1:6" ht="21.75" customHeight="1">
      <c r="A37" s="213" t="s">
        <v>123</v>
      </c>
      <c r="B37" s="213"/>
      <c r="C37" s="78">
        <f>ROUND(1/3*1/12,5)</f>
        <v>2.7779999999999999E-2</v>
      </c>
      <c r="D37" s="83">
        <f t="shared" si="2"/>
        <v>0</v>
      </c>
    </row>
    <row r="38" spans="1:6" ht="30" customHeight="1">
      <c r="A38" s="214" t="s">
        <v>124</v>
      </c>
      <c r="B38" s="214"/>
      <c r="C38" s="78">
        <f>ROUND(1/3*C30,5)</f>
        <v>1.2999999999999999E-4</v>
      </c>
      <c r="D38" s="83">
        <f t="shared" si="2"/>
        <v>0</v>
      </c>
      <c r="F38" s="68"/>
    </row>
    <row r="39" spans="1:6">
      <c r="A39" s="108" t="s">
        <v>35</v>
      </c>
      <c r="B39" s="114"/>
      <c r="C39" s="115">
        <f>ROUND(SUM(C34:C38),5)</f>
        <v>6.694E-2</v>
      </c>
      <c r="D39" s="111">
        <f>ROUND(SUM(D34:D38),2)</f>
        <v>0</v>
      </c>
    </row>
    <row r="40" spans="1:6">
      <c r="A40" s="97" t="s">
        <v>36</v>
      </c>
      <c r="B40" s="97"/>
      <c r="C40" s="109"/>
      <c r="D40" s="99"/>
    </row>
    <row r="41" spans="1:6" ht="22.5" customHeight="1">
      <c r="A41" s="215" t="s">
        <v>37</v>
      </c>
      <c r="B41" s="215"/>
      <c r="C41" s="116">
        <f>ROUND(C22*C32,5)</f>
        <v>7.7039999999999997E-2</v>
      </c>
      <c r="D41" s="117">
        <f>ROUND($D$10*C41,2)</f>
        <v>0</v>
      </c>
    </row>
    <row r="42" spans="1:6">
      <c r="A42" s="108" t="s">
        <v>38</v>
      </c>
      <c r="B42" s="109"/>
      <c r="C42" s="118">
        <f>ROUND(SUM(C41),5)</f>
        <v>7.7039999999999997E-2</v>
      </c>
      <c r="D42" s="111">
        <f>ROUND(SUM(D41),2)</f>
        <v>0</v>
      </c>
    </row>
    <row r="43" spans="1:6">
      <c r="A43" s="27" t="s">
        <v>39</v>
      </c>
      <c r="B43" s="27"/>
      <c r="C43" s="66"/>
      <c r="D43" s="17"/>
    </row>
    <row r="44" spans="1:6">
      <c r="A44" s="216" t="s">
        <v>40</v>
      </c>
      <c r="B44" s="216"/>
      <c r="C44" s="119">
        <f>ROUND(8%*C34,5)</f>
        <v>3.3E-4</v>
      </c>
      <c r="D44" s="120">
        <f>ROUND($D$8*C44,2)</f>
        <v>0</v>
      </c>
    </row>
    <row r="45" spans="1:6" ht="57.75" customHeight="1">
      <c r="A45" s="217" t="s">
        <v>41</v>
      </c>
      <c r="B45" s="217"/>
      <c r="C45" s="79">
        <f>ROUND(8%*C28,5)</f>
        <v>4.0000000000000003E-5</v>
      </c>
      <c r="D45" s="83">
        <f>ROUND($D$8*C45,2)</f>
        <v>0</v>
      </c>
    </row>
    <row r="46" spans="1:6" s="11" customFormat="1" ht="18" customHeight="1">
      <c r="A46" s="218" t="s">
        <v>42</v>
      </c>
      <c r="B46" s="218"/>
      <c r="C46" s="80">
        <f>ROUND(C15*C37,5)</f>
        <v>2.2200000000000002E-3</v>
      </c>
      <c r="D46" s="85">
        <f>ROUND($D$8*C46,2)</f>
        <v>0</v>
      </c>
      <c r="E46" s="10"/>
      <c r="F46" s="10"/>
    </row>
    <row r="47" spans="1:6">
      <c r="A47" s="93" t="s">
        <v>43</v>
      </c>
      <c r="B47" s="94"/>
      <c r="C47" s="115">
        <f>ROUND(SUM(C44:C46),5)</f>
        <v>2.5899999999999999E-3</v>
      </c>
      <c r="D47" s="102">
        <f>ROUND(SUM(D44:D46),2)</f>
        <v>0</v>
      </c>
    </row>
    <row r="48" spans="1:6">
      <c r="A48" s="103" t="s">
        <v>44</v>
      </c>
      <c r="B48" s="103"/>
      <c r="C48" s="104"/>
      <c r="D48" s="96"/>
    </row>
    <row r="49" spans="1:6" ht="49.5" customHeight="1">
      <c r="A49" s="219" t="s">
        <v>45</v>
      </c>
      <c r="B49" s="219"/>
      <c r="C49" s="73">
        <f>ROUND(C22*(4/12)*2/100,5)</f>
        <v>2.65E-3</v>
      </c>
      <c r="D49" s="63">
        <f>ROUND($D$8*C49,2)</f>
        <v>0</v>
      </c>
    </row>
    <row r="50" spans="1:6">
      <c r="A50" s="93" t="s">
        <v>46</v>
      </c>
      <c r="B50" s="94"/>
      <c r="C50" s="121">
        <f>ROUND(SUM(C49),5)</f>
        <v>2.65E-3</v>
      </c>
      <c r="D50" s="102">
        <f>ROUND(SUM(D49),2)</f>
        <v>0</v>
      </c>
    </row>
    <row r="51" spans="1:6">
      <c r="A51" s="183" t="s">
        <v>47</v>
      </c>
      <c r="B51" s="122"/>
      <c r="C51" s="123">
        <f>ROUND(C50+C47+C42+C39+C32+C22,5)</f>
        <v>0.74078999999999995</v>
      </c>
      <c r="D51" s="124">
        <f>ROUND(D50+D47+D42+D39+D32+D22,2)</f>
        <v>0</v>
      </c>
    </row>
    <row r="52" spans="1:6" ht="8.25" customHeight="1">
      <c r="A52" s="93"/>
      <c r="B52" s="94"/>
      <c r="C52" s="95"/>
      <c r="D52" s="102"/>
    </row>
    <row r="53" spans="1:6" s="45" customFormat="1" ht="16.5" customHeight="1">
      <c r="A53" s="207" t="s">
        <v>48</v>
      </c>
      <c r="B53" s="207"/>
      <c r="C53" s="207"/>
      <c r="D53" s="124">
        <f>ROUND(D51+D10,2)</f>
        <v>0</v>
      </c>
      <c r="E53" s="125"/>
      <c r="F53" s="126"/>
    </row>
    <row r="54" spans="1:6" ht="8.25" customHeight="1">
      <c r="A54" s="93"/>
      <c r="B54" s="94"/>
      <c r="C54" s="95"/>
      <c r="D54" s="96"/>
    </row>
    <row r="55" spans="1:6">
      <c r="A55" s="183" t="s">
        <v>49</v>
      </c>
      <c r="B55" s="183"/>
      <c r="C55" s="127"/>
      <c r="D55" s="128"/>
    </row>
    <row r="56" spans="1:6">
      <c r="A56" s="28" t="s">
        <v>50</v>
      </c>
      <c r="B56" s="28"/>
      <c r="C56" s="29"/>
      <c r="D56" s="64"/>
    </row>
    <row r="57" spans="1:6">
      <c r="A57" s="30" t="s">
        <v>51</v>
      </c>
      <c r="B57" s="30"/>
      <c r="C57" s="29"/>
      <c r="D57" s="64"/>
    </row>
    <row r="58" spans="1:6">
      <c r="A58" s="28" t="s">
        <v>52</v>
      </c>
      <c r="B58" s="28"/>
      <c r="C58" s="29"/>
      <c r="D58" s="64"/>
    </row>
    <row r="59" spans="1:6" ht="15" customHeight="1">
      <c r="A59" s="213" t="s">
        <v>53</v>
      </c>
      <c r="B59" s="213"/>
      <c r="C59" s="213"/>
      <c r="D59" s="64">
        <f>-6%*D7</f>
        <v>0</v>
      </c>
    </row>
    <row r="60" spans="1:6">
      <c r="A60" s="28" t="s">
        <v>54</v>
      </c>
      <c r="B60" s="28"/>
      <c r="C60" s="29"/>
      <c r="D60" s="64"/>
      <c r="E60" s="31"/>
    </row>
    <row r="61" spans="1:6" s="20" customFormat="1">
      <c r="A61" s="129" t="s">
        <v>55</v>
      </c>
      <c r="B61" s="130"/>
      <c r="C61" s="127"/>
      <c r="D61" s="128">
        <f>ROUND(SUM(D56:D60),2)</f>
        <v>0</v>
      </c>
      <c r="E61" s="19"/>
      <c r="F61" s="19"/>
    </row>
    <row r="62" spans="1:6" ht="16.5" customHeight="1">
      <c r="A62" s="93"/>
      <c r="B62" s="94"/>
      <c r="C62" s="95"/>
      <c r="D62" s="96"/>
    </row>
    <row r="63" spans="1:6" s="20" customFormat="1">
      <c r="A63" s="183" t="str">
        <f>IF(B3="12x36 h","IV - COBERTURA INTRAJORNADA","")</f>
        <v/>
      </c>
      <c r="B63" s="183"/>
      <c r="C63" s="127"/>
      <c r="D63" s="128"/>
      <c r="E63" s="19"/>
      <c r="F63" s="19"/>
    </row>
    <row r="64" spans="1:6" s="20" customFormat="1" ht="18" customHeight="1">
      <c r="A64" s="210" t="str">
        <f>IF($B$3="12x36 h","Remuneração + encargos sociais + insumos","")</f>
        <v/>
      </c>
      <c r="B64" s="210"/>
      <c r="C64" s="131"/>
      <c r="D64" s="132" t="str">
        <f>IF(B3="12X36 H",(($D$61+($D$53-D58+D59)))/220*3*7*4.345/2,"")</f>
        <v/>
      </c>
      <c r="E64" s="19"/>
      <c r="F64" s="19"/>
    </row>
    <row r="65" spans="1:6" s="20" customFormat="1" ht="18" customHeight="1">
      <c r="A65" s="210" t="str">
        <f>IF(B3="12x36 h","Vale transporte - cobertura intrajornada","")</f>
        <v/>
      </c>
      <c r="B65" s="210"/>
      <c r="C65" s="131"/>
      <c r="D65" s="132" t="str">
        <f>IF(B3="12X36 H",D58,"")</f>
        <v/>
      </c>
      <c r="E65" s="19"/>
      <c r="F65" s="19"/>
    </row>
    <row r="66" spans="1:6" s="20" customFormat="1">
      <c r="A66" s="211" t="str">
        <f>IF(B3="12x36 h","TOTAL COBERTURA INTRAJORNADA (R$)","")</f>
        <v/>
      </c>
      <c r="B66" s="211"/>
      <c r="C66" s="133"/>
      <c r="D66" s="128" t="str">
        <f>IF(B3="12x36 h",(D64+D65),"")</f>
        <v/>
      </c>
      <c r="E66" s="19"/>
      <c r="F66" s="19"/>
    </row>
    <row r="67" spans="1:6" ht="15.75" customHeight="1">
      <c r="A67" s="93"/>
      <c r="B67" s="94"/>
      <c r="C67" s="95"/>
      <c r="D67" s="96"/>
    </row>
    <row r="68" spans="1:6" s="20" customFormat="1" ht="29.25" customHeight="1">
      <c r="A68" s="208" t="str">
        <f>IF(B3="12x36 h","TOTAL DE REMUNERAÇÃO + ENCARGOS SOCIAIS + INSUMOS + COBERTURA INTRAJORNADA (R$)","TOTAL DE REMUNERAÇÃO + ENCARGOS SOCIAIS + INSUMOS (R$)")</f>
        <v>TOTAL DE REMUNERAÇÃO + ENCARGOS SOCIAIS + INSUMOS (R$)</v>
      </c>
      <c r="B68" s="208"/>
      <c r="C68" s="208"/>
      <c r="D68" s="91">
        <f>ROUND(SUM(D53,D61,D66),2)</f>
        <v>0</v>
      </c>
      <c r="E68" s="19"/>
      <c r="F68" s="19"/>
    </row>
    <row r="69" spans="1:6" s="61" customFormat="1" ht="14.25" customHeight="1">
      <c r="A69" s="97"/>
      <c r="B69" s="97"/>
      <c r="C69" s="97"/>
      <c r="D69" s="99"/>
      <c r="E69" s="60"/>
      <c r="F69" s="60"/>
    </row>
    <row r="70" spans="1:6" s="20" customFormat="1" ht="16.5" customHeight="1">
      <c r="A70" s="90" t="s">
        <v>56</v>
      </c>
      <c r="B70" s="184"/>
      <c r="C70" s="184"/>
      <c r="D70" s="91"/>
      <c r="E70" s="19"/>
      <c r="F70" s="19"/>
    </row>
    <row r="71" spans="1:6" s="20" customFormat="1" ht="21.75" customHeight="1">
      <c r="A71" s="207" t="s">
        <v>57</v>
      </c>
      <c r="B71" s="207"/>
      <c r="C71" s="134"/>
      <c r="D71" s="135"/>
      <c r="E71" s="19"/>
      <c r="F71" s="19"/>
    </row>
    <row r="72" spans="1:6" s="20" customFormat="1">
      <c r="A72" s="212" t="s">
        <v>58</v>
      </c>
      <c r="B72" s="212"/>
      <c r="C72" s="136">
        <v>0.05</v>
      </c>
      <c r="D72" s="137">
        <f>ROUND(C72*D68,2)</f>
        <v>0</v>
      </c>
      <c r="E72" s="19"/>
      <c r="F72" s="19"/>
    </row>
    <row r="73" spans="1:6" s="20" customFormat="1">
      <c r="A73" s="32" t="s">
        <v>59</v>
      </c>
      <c r="B73" s="33"/>
      <c r="C73" s="34">
        <v>0.1</v>
      </c>
      <c r="D73" s="65">
        <f>ROUND(C73*D68,2)</f>
        <v>0</v>
      </c>
      <c r="E73" s="19"/>
      <c r="F73" s="19"/>
    </row>
    <row r="74" spans="1:6" s="20" customFormat="1" ht="17.25" customHeight="1">
      <c r="A74" s="208" t="s">
        <v>60</v>
      </c>
      <c r="B74" s="208"/>
      <c r="C74" s="138">
        <f>ROUND(SUM(C72:C73),5)</f>
        <v>0.15</v>
      </c>
      <c r="D74" s="139">
        <f>ROUND(D73+D72,2)</f>
        <v>0</v>
      </c>
      <c r="E74" s="19"/>
      <c r="F74" s="19"/>
    </row>
    <row r="75" spans="1:6" s="20" customFormat="1" ht="16.5" customHeight="1">
      <c r="A75" s="140"/>
      <c r="B75" s="141"/>
      <c r="C75" s="142"/>
      <c r="D75" s="143"/>
      <c r="E75" s="19"/>
      <c r="F75" s="19"/>
    </row>
    <row r="76" spans="1:6" s="20" customFormat="1" ht="18.75" customHeight="1">
      <c r="A76" s="207" t="s">
        <v>61</v>
      </c>
      <c r="B76" s="207"/>
      <c r="C76" s="134"/>
      <c r="D76" s="144"/>
      <c r="E76" s="19"/>
      <c r="F76" s="19"/>
    </row>
    <row r="77" spans="1:6" s="20" customFormat="1">
      <c r="A77" s="145" t="s">
        <v>62</v>
      </c>
      <c r="B77" s="146"/>
      <c r="C77" s="147">
        <v>0.05</v>
      </c>
      <c r="D77" s="148">
        <f>ROUND((D68+D74)/(1-C80)*C77,2)</f>
        <v>0</v>
      </c>
      <c r="E77" s="19"/>
      <c r="F77" s="19"/>
    </row>
    <row r="78" spans="1:6" s="20" customFormat="1">
      <c r="A78" s="30" t="s">
        <v>63</v>
      </c>
      <c r="B78" s="35"/>
      <c r="C78" s="81">
        <v>0.03</v>
      </c>
      <c r="D78" s="84">
        <f>ROUND((D68+D74)/(1-C80)*C78,2)</f>
        <v>0</v>
      </c>
      <c r="E78" s="19"/>
      <c r="F78" s="19"/>
    </row>
    <row r="79" spans="1:6" s="20" customFormat="1">
      <c r="A79" s="36" t="s">
        <v>64</v>
      </c>
      <c r="B79" s="37"/>
      <c r="C79" s="82">
        <v>6.4999999999999997E-3</v>
      </c>
      <c r="D79" s="86">
        <f>ROUND((D68+D74)/(1-C80)*C79,2)</f>
        <v>0</v>
      </c>
      <c r="E79" s="19"/>
      <c r="F79" s="19"/>
    </row>
    <row r="80" spans="1:6" s="20" customFormat="1" ht="20.25" customHeight="1">
      <c r="A80" s="208" t="s">
        <v>65</v>
      </c>
      <c r="B80" s="208"/>
      <c r="C80" s="149">
        <f>ROUND(SUM(C77:C79),5)</f>
        <v>8.6499999999999994E-2</v>
      </c>
      <c r="D80" s="139">
        <f>ROUND(SUM(D77:D79),2)</f>
        <v>0</v>
      </c>
      <c r="E80" s="19"/>
      <c r="F80" s="19"/>
    </row>
    <row r="81" spans="1:6" s="20" customFormat="1" ht="18" customHeight="1">
      <c r="A81" s="140"/>
      <c r="B81" s="141"/>
      <c r="C81" s="142"/>
      <c r="D81" s="143"/>
      <c r="E81" s="19"/>
      <c r="F81" s="19"/>
    </row>
    <row r="82" spans="1:6" s="20" customFormat="1" ht="20.25" customHeight="1">
      <c r="A82" s="208" t="s">
        <v>66</v>
      </c>
      <c r="B82" s="208"/>
      <c r="C82" s="150"/>
      <c r="D82" s="124">
        <f>ROUND(D68+D74+D80,2)</f>
        <v>0</v>
      </c>
      <c r="E82" s="19"/>
      <c r="F82" s="19"/>
    </row>
    <row r="83" spans="1:6">
      <c r="A83" s="209" t="s">
        <v>67</v>
      </c>
      <c r="B83" s="209"/>
      <c r="C83" s="209"/>
      <c r="D83" s="67">
        <v>1</v>
      </c>
    </row>
    <row r="84" spans="1:6" s="20" customFormat="1">
      <c r="A84" s="151" t="s">
        <v>68</v>
      </c>
      <c r="B84" s="151"/>
      <c r="C84" s="152"/>
      <c r="D84" s="153">
        <f>ROUND(D82*D83,2)</f>
        <v>0</v>
      </c>
      <c r="E84" s="19"/>
      <c r="F84" s="19"/>
    </row>
    <row r="85" spans="1:6" s="20" customFormat="1">
      <c r="A85" s="151" t="s">
        <v>69</v>
      </c>
      <c r="B85" s="151"/>
      <c r="C85" s="152"/>
      <c r="D85" s="153">
        <f>ROUND(D84*12,2)</f>
        <v>0</v>
      </c>
      <c r="E85" s="19"/>
      <c r="F85" s="19"/>
    </row>
    <row r="86" spans="1:6">
      <c r="C86" s="38"/>
    </row>
    <row r="90" spans="1:6">
      <c r="A90" s="154" t="s">
        <v>70</v>
      </c>
      <c r="B90" s="154"/>
      <c r="C90" s="155" t="s">
        <v>71</v>
      </c>
    </row>
    <row r="91" spans="1:6">
      <c r="A91" s="87" t="str">
        <f>A22</f>
        <v>TOTAL - GRUPO A - ENCARGOS</v>
      </c>
      <c r="B91" s="87"/>
      <c r="C91" s="78">
        <f>ROUND(C22,5)</f>
        <v>0.39800000000000002</v>
      </c>
    </row>
    <row r="92" spans="1:6">
      <c r="A92" s="87" t="str">
        <f>A32</f>
        <v>TOTAL - GRUPO B</v>
      </c>
      <c r="B92" s="87"/>
      <c r="C92" s="78">
        <f>ROUND(C32,5)</f>
        <v>0.19356999999999999</v>
      </c>
    </row>
    <row r="93" spans="1:6">
      <c r="A93" s="87" t="str">
        <f>A39</f>
        <v xml:space="preserve">TOTAL - GRUPO C </v>
      </c>
      <c r="B93" s="87"/>
      <c r="C93" s="78">
        <f>ROUND(C39,5)</f>
        <v>6.694E-2</v>
      </c>
    </row>
    <row r="94" spans="1:6">
      <c r="A94" s="87" t="str">
        <f>A42</f>
        <v>TOTAL - GRUPO D</v>
      </c>
      <c r="B94" s="87"/>
      <c r="C94" s="78">
        <f>ROUND(C42,5)</f>
        <v>7.7039999999999997E-2</v>
      </c>
    </row>
    <row r="95" spans="1:6">
      <c r="A95" s="87" t="str">
        <f>A47</f>
        <v xml:space="preserve">TOTAL - GRUPO E </v>
      </c>
      <c r="B95" s="87"/>
      <c r="C95" s="78">
        <f>ROUND(C47,5)</f>
        <v>2.5899999999999999E-3</v>
      </c>
    </row>
    <row r="96" spans="1:6">
      <c r="A96" s="87" t="str">
        <f>A50</f>
        <v>TOTAL - GRUPO F</v>
      </c>
      <c r="B96" s="87"/>
      <c r="C96" s="78">
        <f>ROUND(C50,5)</f>
        <v>2.65E-3</v>
      </c>
    </row>
    <row r="97" spans="1:3">
      <c r="A97" s="154" t="s">
        <v>72</v>
      </c>
      <c r="B97" s="154"/>
      <c r="C97" s="156">
        <f>ROUND(SUM(C91:C96),5)</f>
        <v>0.74078999999999995</v>
      </c>
    </row>
  </sheetData>
  <sheetProtection formatCells="0" formatColumns="0" formatRows="0" insertColumns="0" insertRows="0" insertHyperlinks="0" deleteColumns="0" deleteRows="0" sort="0" autoFilter="0" pivotTables="0"/>
  <dataConsolidate link="1"/>
  <mergeCells count="27">
    <mergeCell ref="A30:B30"/>
    <mergeCell ref="A74:B74"/>
    <mergeCell ref="A59:C59"/>
    <mergeCell ref="A12:C12"/>
    <mergeCell ref="A65:B65"/>
    <mergeCell ref="A41:B41"/>
    <mergeCell ref="A64:B64"/>
    <mergeCell ref="A68:C68"/>
    <mergeCell ref="A72:B72"/>
    <mergeCell ref="A66:B66"/>
    <mergeCell ref="A53:C53"/>
    <mergeCell ref="A83:C83"/>
    <mergeCell ref="A1:D1"/>
    <mergeCell ref="A2:D2"/>
    <mergeCell ref="A71:B71"/>
    <mergeCell ref="A21:B21"/>
    <mergeCell ref="A36:B36"/>
    <mergeCell ref="A37:B37"/>
    <mergeCell ref="A38:B38"/>
    <mergeCell ref="A44:B44"/>
    <mergeCell ref="A45:B45"/>
    <mergeCell ref="A46:B46"/>
    <mergeCell ref="A49:B49"/>
    <mergeCell ref="A82:B82"/>
    <mergeCell ref="A76:B76"/>
    <mergeCell ref="A80:B80"/>
    <mergeCell ref="A8:B8"/>
  </mergeCells>
  <dataValidations xWindow="879" yWindow="245" count="1">
    <dataValidation type="list" allowBlank="1" showInputMessage="1" showErrorMessage="1" promptTitle="SERVIÇO" prompt="Escolha o Serviço a ser contratado" sqref="A2" xr:uid="{00000000-0002-0000-0000-000000000000}">
      <formula1>Serviços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79" yWindow="245" count="2">
        <x14:dataValidation type="list" allowBlank="1" showInputMessage="1" showErrorMessage="1" xr:uid="{00000000-0002-0000-0000-000001000000}">
          <x14:formula1>
            <xm:f>'Dados - Não mexer'!$B$2:$B$4</xm:f>
          </x14:formula1>
          <xm:sqref>B3</xm:sqref>
        </x14:dataValidation>
        <x14:dataValidation type="list" allowBlank="1" showInputMessage="1" showErrorMessage="1" xr:uid="{00000000-0002-0000-0000-000002000000}">
          <x14:formula1>
            <xm:f>'Dados - Não mexer'!$C$2:$C$3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75E5-FA7C-4039-B1A3-AD001184DE37}">
  <sheetPr>
    <tabColor rgb="FF92D050"/>
  </sheetPr>
  <dimension ref="A1:G17"/>
  <sheetViews>
    <sheetView showGridLines="0" zoomScale="85" zoomScaleNormal="85" workbookViewId="0">
      <selection activeCell="A17" sqref="A17:B17"/>
    </sheetView>
  </sheetViews>
  <sheetFormatPr defaultColWidth="9.140625" defaultRowHeight="15" outlineLevelCol="1"/>
  <cols>
    <col min="1" max="1" width="9.140625" style="88"/>
    <col min="2" max="2" width="12.140625" style="88" customWidth="1"/>
    <col min="3" max="3" width="46.85546875" style="88" customWidth="1" outlineLevel="1"/>
    <col min="4" max="4" width="15.5703125" style="88" customWidth="1"/>
    <col min="5" max="5" width="9.5703125" style="88" customWidth="1"/>
    <col min="6" max="6" width="14" style="88" customWidth="1"/>
    <col min="7" max="7" width="15.42578125" style="88" customWidth="1"/>
    <col min="8" max="8" width="21.42578125" style="88" customWidth="1"/>
    <col min="9" max="10" width="10" style="88" bestFit="1" customWidth="1"/>
    <col min="11" max="11" width="9.7109375" style="88" bestFit="1" customWidth="1"/>
    <col min="12" max="16384" width="9.140625" style="88"/>
  </cols>
  <sheetData>
    <row r="1" spans="1:7">
      <c r="A1" s="225" t="s">
        <v>74</v>
      </c>
      <c r="B1" s="225"/>
      <c r="C1" s="225"/>
      <c r="D1" s="225"/>
      <c r="E1" s="225"/>
      <c r="F1" s="225"/>
      <c r="G1" s="225"/>
    </row>
    <row r="2" spans="1:7">
      <c r="A2" s="190"/>
      <c r="B2" s="227"/>
      <c r="C2" s="227"/>
      <c r="D2" s="227"/>
      <c r="E2" s="227"/>
      <c r="F2" s="227"/>
      <c r="G2" s="227"/>
    </row>
    <row r="3" spans="1:7">
      <c r="A3" s="225" t="s">
        <v>125</v>
      </c>
      <c r="B3" s="225"/>
      <c r="C3" s="225"/>
      <c r="D3" s="225"/>
      <c r="E3" s="225"/>
      <c r="F3" s="225"/>
      <c r="G3" s="225"/>
    </row>
    <row r="4" spans="1:7" s="89" customFormat="1" ht="25.5">
      <c r="A4" s="191" t="s">
        <v>70</v>
      </c>
      <c r="B4" s="192" t="s">
        <v>75</v>
      </c>
      <c r="C4" s="192" t="s">
        <v>76</v>
      </c>
      <c r="D4" s="192" t="s">
        <v>77</v>
      </c>
      <c r="E4" s="193" t="s">
        <v>78</v>
      </c>
      <c r="F4" s="194" t="s">
        <v>79</v>
      </c>
      <c r="G4" s="194" t="s">
        <v>80</v>
      </c>
    </row>
    <row r="5" spans="1:7" ht="25.5">
      <c r="A5" s="195">
        <v>1</v>
      </c>
      <c r="B5" s="196" t="s">
        <v>81</v>
      </c>
      <c r="C5" s="197" t="s">
        <v>82</v>
      </c>
      <c r="D5" s="198"/>
      <c r="E5" s="199">
        <v>2</v>
      </c>
      <c r="F5" s="198">
        <f t="shared" ref="F5:F8" si="0">ROUND(D5*E5,2)</f>
        <v>0</v>
      </c>
      <c r="G5" s="198">
        <f t="shared" ref="G5:G8" si="1">ROUND(F5/12,2)</f>
        <v>0</v>
      </c>
    </row>
    <row r="6" spans="1:7" ht="38.25">
      <c r="A6" s="195">
        <f t="shared" ref="A6:A7" si="2">+A5+1</f>
        <v>2</v>
      </c>
      <c r="B6" s="196" t="s">
        <v>83</v>
      </c>
      <c r="C6" s="197" t="s">
        <v>134</v>
      </c>
      <c r="D6" s="198"/>
      <c r="E6" s="199">
        <v>2</v>
      </c>
      <c r="F6" s="198">
        <f t="shared" si="0"/>
        <v>0</v>
      </c>
      <c r="G6" s="198">
        <f t="shared" si="1"/>
        <v>0</v>
      </c>
    </row>
    <row r="7" spans="1:7">
      <c r="A7" s="195">
        <f t="shared" si="2"/>
        <v>3</v>
      </c>
      <c r="B7" s="196" t="s">
        <v>127</v>
      </c>
      <c r="C7" s="197" t="s">
        <v>128</v>
      </c>
      <c r="D7" s="198"/>
      <c r="E7" s="199">
        <v>1</v>
      </c>
      <c r="F7" s="198">
        <f t="shared" si="0"/>
        <v>0</v>
      </c>
      <c r="G7" s="198">
        <f t="shared" si="1"/>
        <v>0</v>
      </c>
    </row>
    <row r="8" spans="1:7">
      <c r="A8" s="195">
        <v>4</v>
      </c>
      <c r="B8" s="196" t="s">
        <v>84</v>
      </c>
      <c r="C8" s="197" t="s">
        <v>133</v>
      </c>
      <c r="D8" s="198"/>
      <c r="E8" s="199">
        <v>1</v>
      </c>
      <c r="F8" s="198">
        <f t="shared" si="0"/>
        <v>0</v>
      </c>
      <c r="G8" s="198">
        <f t="shared" si="1"/>
        <v>0</v>
      </c>
    </row>
    <row r="9" spans="1:7">
      <c r="A9" s="226" t="s">
        <v>85</v>
      </c>
      <c r="B9" s="226"/>
      <c r="C9" s="226"/>
      <c r="D9" s="226"/>
      <c r="E9" s="226"/>
      <c r="F9" s="200">
        <f>ROUND(SUM(F5:F8),2)</f>
        <v>0</v>
      </c>
      <c r="G9" s="200">
        <f>ROUND(SUM(G5:G8),2)</f>
        <v>0</v>
      </c>
    </row>
    <row r="10" spans="1:7">
      <c r="A10" s="190"/>
      <c r="B10" s="228"/>
      <c r="C10" s="228"/>
      <c r="D10" s="228"/>
      <c r="E10" s="228"/>
      <c r="F10" s="228"/>
      <c r="G10" s="228"/>
    </row>
    <row r="11" spans="1:7">
      <c r="A11" s="190"/>
      <c r="B11" s="201"/>
      <c r="C11" s="201"/>
      <c r="D11" s="201"/>
      <c r="E11" s="201"/>
      <c r="F11" s="201"/>
      <c r="G11" s="201"/>
    </row>
    <row r="12" spans="1:7">
      <c r="A12" s="225" t="s">
        <v>86</v>
      </c>
      <c r="B12" s="225"/>
      <c r="C12" s="225"/>
      <c r="D12" s="225"/>
      <c r="E12" s="225"/>
      <c r="F12" s="225"/>
      <c r="G12" s="225"/>
    </row>
    <row r="13" spans="1:7" s="89" customFormat="1" ht="25.5">
      <c r="A13" s="191" t="s">
        <v>70</v>
      </c>
      <c r="B13" s="192" t="s">
        <v>75</v>
      </c>
      <c r="C13" s="192" t="s">
        <v>76</v>
      </c>
      <c r="D13" s="192" t="s">
        <v>77</v>
      </c>
      <c r="E13" s="193" t="s">
        <v>78</v>
      </c>
      <c r="F13" s="194" t="s">
        <v>79</v>
      </c>
      <c r="G13" s="194" t="s">
        <v>80</v>
      </c>
    </row>
    <row r="14" spans="1:7" ht="38.25">
      <c r="A14" s="195">
        <v>1</v>
      </c>
      <c r="B14" s="202" t="s">
        <v>87</v>
      </c>
      <c r="C14" s="203" t="s">
        <v>129</v>
      </c>
      <c r="D14" s="204"/>
      <c r="E14" s="199">
        <v>2</v>
      </c>
      <c r="F14" s="198">
        <f t="shared" ref="F14:F16" si="3">ROUND(D14*E14,2)</f>
        <v>0</v>
      </c>
      <c r="G14" s="198">
        <f t="shared" ref="G14:G16" si="4">ROUND(F14/12,2)</f>
        <v>0</v>
      </c>
    </row>
    <row r="15" spans="1:7">
      <c r="A15" s="195">
        <v>3</v>
      </c>
      <c r="B15" s="202" t="s">
        <v>130</v>
      </c>
      <c r="C15" s="203" t="s">
        <v>131</v>
      </c>
      <c r="D15" s="204"/>
      <c r="E15" s="199">
        <v>2</v>
      </c>
      <c r="F15" s="198">
        <f t="shared" si="3"/>
        <v>0</v>
      </c>
      <c r="G15" s="198">
        <f t="shared" si="4"/>
        <v>0</v>
      </c>
    </row>
    <row r="16" spans="1:7">
      <c r="A16" s="195">
        <f>+A15+1</f>
        <v>4</v>
      </c>
      <c r="B16" s="202" t="s">
        <v>88</v>
      </c>
      <c r="C16" s="203" t="s">
        <v>132</v>
      </c>
      <c r="D16" s="204"/>
      <c r="E16" s="199">
        <v>1</v>
      </c>
      <c r="F16" s="198">
        <f t="shared" si="3"/>
        <v>0</v>
      </c>
      <c r="G16" s="198">
        <f t="shared" si="4"/>
        <v>0</v>
      </c>
    </row>
    <row r="17" spans="1:7" ht="27" customHeight="1">
      <c r="A17" s="224" t="s">
        <v>135</v>
      </c>
      <c r="B17" s="224"/>
      <c r="C17" s="205"/>
      <c r="D17" s="205"/>
      <c r="E17" s="205"/>
      <c r="F17" s="206">
        <f>ROUND(SUM(F14:F16),2)</f>
        <v>0</v>
      </c>
      <c r="G17" s="206">
        <f>ROUND(SUM(G14:G16),2)</f>
        <v>0</v>
      </c>
    </row>
  </sheetData>
  <sheetProtection selectLockedCells="1" selectUnlockedCells="1"/>
  <mergeCells count="7">
    <mergeCell ref="A17:B17"/>
    <mergeCell ref="A12:G12"/>
    <mergeCell ref="A1:G1"/>
    <mergeCell ref="A3:G3"/>
    <mergeCell ref="A9:E9"/>
    <mergeCell ref="B2:G2"/>
    <mergeCell ref="B10:G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">
    <tabColor theme="6" tint="-0.499984740745262"/>
  </sheetPr>
  <dimension ref="A1:O28"/>
  <sheetViews>
    <sheetView showGridLines="0" workbookViewId="0">
      <selection sqref="A1:H28"/>
    </sheetView>
  </sheetViews>
  <sheetFormatPr defaultRowHeight="15"/>
  <cols>
    <col min="1" max="1" width="18" style="39" customWidth="1"/>
    <col min="2" max="2" width="8.5703125" style="39" customWidth="1"/>
    <col min="3" max="3" width="9.140625" style="39" bestFit="1" customWidth="1"/>
    <col min="4" max="4" width="10.7109375" style="39" customWidth="1"/>
    <col min="5" max="5" width="11.5703125" style="39" customWidth="1"/>
    <col min="6" max="6" width="8.28515625" style="39" customWidth="1"/>
    <col min="7" max="7" width="11.7109375" style="39" customWidth="1"/>
    <col min="8" max="8" width="11.28515625" style="39" customWidth="1"/>
    <col min="9" max="9" width="28.42578125" style="39" bestFit="1" customWidth="1"/>
    <col min="10" max="10" width="11" style="39" customWidth="1"/>
    <col min="11" max="11" width="15.85546875" style="39" customWidth="1"/>
    <col min="12" max="13" width="20.85546875" style="39" customWidth="1"/>
    <col min="14" max="16384" width="9.140625" style="39"/>
  </cols>
  <sheetData>
    <row r="1" spans="1:15" ht="15.75" thickBot="1">
      <c r="A1" s="230" t="s">
        <v>91</v>
      </c>
      <c r="B1" s="230"/>
      <c r="C1" s="230"/>
      <c r="D1" s="230"/>
      <c r="E1" s="230"/>
      <c r="F1" s="230"/>
      <c r="G1" s="230"/>
      <c r="H1" s="230"/>
    </row>
    <row r="2" spans="1:15" ht="15.75" thickBot="1">
      <c r="A2" s="229" t="s">
        <v>92</v>
      </c>
      <c r="B2" s="229"/>
      <c r="C2" s="229"/>
      <c r="D2" s="229"/>
      <c r="E2" s="229"/>
      <c r="F2" s="229"/>
      <c r="G2" s="229"/>
      <c r="H2" s="229"/>
    </row>
    <row r="3" spans="1:15" ht="60">
      <c r="A3" s="49" t="s">
        <v>93</v>
      </c>
      <c r="B3" s="49" t="s">
        <v>94</v>
      </c>
      <c r="C3" s="49" t="s">
        <v>2</v>
      </c>
      <c r="D3" s="49" t="s">
        <v>80</v>
      </c>
      <c r="E3" s="49" t="s">
        <v>95</v>
      </c>
      <c r="F3" s="49" t="s">
        <v>90</v>
      </c>
      <c r="G3" s="49" t="s">
        <v>96</v>
      </c>
      <c r="H3" s="49" t="s">
        <v>97</v>
      </c>
    </row>
    <row r="4" spans="1:15">
      <c r="A4" s="158" t="s">
        <v>73</v>
      </c>
      <c r="B4" s="159" t="s">
        <v>4</v>
      </c>
      <c r="C4" s="188" t="s">
        <v>126</v>
      </c>
      <c r="D4" s="161"/>
      <c r="E4" s="162">
        <v>1</v>
      </c>
      <c r="F4" s="163">
        <v>1</v>
      </c>
      <c r="G4" s="164">
        <f t="shared" ref="G4:G6" si="0">ROUND(D4*E4*F4,2)</f>
        <v>0</v>
      </c>
      <c r="H4" s="165">
        <f>ROUND(G4*1,2)</f>
        <v>0</v>
      </c>
    </row>
    <row r="5" spans="1:15">
      <c r="A5" s="158" t="s">
        <v>125</v>
      </c>
      <c r="B5" s="159" t="s">
        <v>4</v>
      </c>
      <c r="C5" s="187" t="s">
        <v>126</v>
      </c>
      <c r="D5" s="161"/>
      <c r="E5" s="162">
        <v>1</v>
      </c>
      <c r="F5" s="163">
        <v>1</v>
      </c>
      <c r="G5" s="164">
        <f t="shared" si="0"/>
        <v>0</v>
      </c>
      <c r="H5" s="165">
        <f>ROUND(G5*12,2)</f>
        <v>0</v>
      </c>
    </row>
    <row r="6" spans="1:15" ht="15" customHeight="1" thickBot="1">
      <c r="A6" s="158" t="s">
        <v>1</v>
      </c>
      <c r="B6" s="159" t="s">
        <v>4</v>
      </c>
      <c r="C6" s="160" t="s">
        <v>126</v>
      </c>
      <c r="D6" s="161"/>
      <c r="E6" s="162">
        <v>1</v>
      </c>
      <c r="F6" s="163">
        <v>1</v>
      </c>
      <c r="G6" s="164">
        <f t="shared" si="0"/>
        <v>0</v>
      </c>
      <c r="H6" s="165">
        <f>ROUND(G6*12,2)</f>
        <v>0</v>
      </c>
    </row>
    <row r="7" spans="1:15" ht="15.75" thickBot="1">
      <c r="A7" s="46" t="s">
        <v>98</v>
      </c>
      <c r="B7" s="46"/>
      <c r="C7" s="46"/>
      <c r="D7" s="46"/>
      <c r="E7" s="46"/>
      <c r="F7" s="47"/>
      <c r="G7" s="48">
        <f>ROUND(SUM(G4:G6),2)</f>
        <v>0</v>
      </c>
      <c r="H7" s="48">
        <f>ROUND(SUM(H4:H6),2)</f>
        <v>0</v>
      </c>
    </row>
    <row r="8" spans="1:15" ht="15.75" thickBot="1">
      <c r="A8" s="40"/>
      <c r="B8" s="40"/>
      <c r="C8" s="40"/>
      <c r="D8" s="40"/>
      <c r="E8" s="40"/>
      <c r="F8" s="41"/>
      <c r="G8" s="41"/>
      <c r="O8" s="42"/>
    </row>
    <row r="9" spans="1:15" ht="15.75" thickBot="1">
      <c r="A9" s="231" t="s">
        <v>99</v>
      </c>
      <c r="B9" s="231"/>
      <c r="C9" s="231"/>
      <c r="D9" s="231"/>
      <c r="E9" s="40"/>
      <c r="F9" s="40"/>
      <c r="G9" s="40"/>
      <c r="O9" s="42"/>
    </row>
    <row r="10" spans="1:15" ht="45">
      <c r="A10" s="52" t="s">
        <v>93</v>
      </c>
      <c r="B10" s="52"/>
      <c r="C10" s="52" t="s">
        <v>100</v>
      </c>
      <c r="D10" s="52" t="s">
        <v>97</v>
      </c>
      <c r="E10" s="40"/>
      <c r="F10" s="40"/>
      <c r="G10" s="40"/>
      <c r="O10" s="42"/>
    </row>
    <row r="11" spans="1:15">
      <c r="A11" s="51" t="s">
        <v>125</v>
      </c>
      <c r="B11" s="50"/>
      <c r="C11" s="166"/>
      <c r="D11" s="166">
        <f>ROUND(C11*12,2)</f>
        <v>0</v>
      </c>
      <c r="E11" s="40"/>
      <c r="F11" s="40"/>
      <c r="G11" s="40"/>
      <c r="O11" s="42"/>
    </row>
    <row r="12" spans="1:15">
      <c r="A12" s="158" t="s">
        <v>1</v>
      </c>
      <c r="B12" s="159"/>
      <c r="C12" s="166"/>
      <c r="D12" s="166">
        <f>ROUND(C12*12,2)</f>
        <v>0</v>
      </c>
      <c r="E12" s="40"/>
      <c r="F12" s="40"/>
      <c r="G12" s="40"/>
      <c r="O12" s="42"/>
    </row>
    <row r="13" spans="1:15">
      <c r="A13" s="167" t="s">
        <v>101</v>
      </c>
      <c r="B13" s="167"/>
      <c r="C13" s="168">
        <f>ROUND(SUM(C11:C12),2)</f>
        <v>0</v>
      </c>
      <c r="D13" s="168">
        <f>ROUND(SUM(D11:D12),2)</f>
        <v>0</v>
      </c>
      <c r="E13" s="40"/>
      <c r="F13" s="40"/>
      <c r="G13" s="40"/>
      <c r="O13" s="42"/>
    </row>
    <row r="14" spans="1:15">
      <c r="A14" s="234" t="s">
        <v>102</v>
      </c>
      <c r="B14" s="234"/>
      <c r="C14" s="234"/>
      <c r="D14" s="234"/>
      <c r="E14" s="40"/>
      <c r="G14" s="40"/>
      <c r="O14" s="42"/>
    </row>
    <row r="15" spans="1:15">
      <c r="A15" s="169" t="s">
        <v>103</v>
      </c>
      <c r="B15" s="170">
        <v>0.1</v>
      </c>
      <c r="C15" s="157">
        <f>ROUND($C$13*B15,2)</f>
        <v>0</v>
      </c>
      <c r="D15" s="157">
        <f>ROUND(C15*12,2)</f>
        <v>0</v>
      </c>
      <c r="E15" s="40"/>
      <c r="F15" s="40"/>
      <c r="G15" s="40"/>
      <c r="O15" s="42"/>
    </row>
    <row r="16" spans="1:15">
      <c r="A16" s="169" t="s">
        <v>104</v>
      </c>
      <c r="B16" s="170">
        <v>0.05</v>
      </c>
      <c r="C16" s="157">
        <f>ROUND($C$13*B16,2)</f>
        <v>0</v>
      </c>
      <c r="D16" s="157">
        <f>ROUND(C16*12,2)</f>
        <v>0</v>
      </c>
      <c r="E16" s="40"/>
      <c r="F16" s="40"/>
      <c r="G16" s="40"/>
      <c r="O16" s="42"/>
    </row>
    <row r="17" spans="1:15">
      <c r="A17" s="171" t="s">
        <v>105</v>
      </c>
      <c r="B17" s="172">
        <f>SUM(B15:B16)</f>
        <v>0.15000000000000002</v>
      </c>
      <c r="C17" s="173">
        <f>ROUND(SUM(C15:C16),2)</f>
        <v>0</v>
      </c>
      <c r="D17" s="173">
        <f>ROUND(SUM(D15:D16),2)</f>
        <v>0</v>
      </c>
      <c r="E17" s="40"/>
      <c r="F17" s="40"/>
      <c r="G17" s="40"/>
      <c r="O17" s="42"/>
    </row>
    <row r="18" spans="1:15">
      <c r="A18" s="234" t="s">
        <v>106</v>
      </c>
      <c r="B18" s="234"/>
      <c r="C18" s="234"/>
      <c r="D18" s="234"/>
      <c r="E18" s="40"/>
      <c r="F18" s="40"/>
      <c r="G18" s="40"/>
      <c r="O18" s="42"/>
    </row>
    <row r="19" spans="1:15">
      <c r="A19" s="174" t="s">
        <v>62</v>
      </c>
      <c r="B19" s="175">
        <f>motorista!C77</f>
        <v>0.05</v>
      </c>
      <c r="C19" s="176">
        <f>ROUND(($C$13+$C$17)/(1-$B$22)*B19,2)</f>
        <v>0</v>
      </c>
      <c r="D19" s="176">
        <f>ROUND(C19*12,2)</f>
        <v>0</v>
      </c>
      <c r="E19" s="40"/>
      <c r="F19" s="40"/>
      <c r="G19" s="40"/>
      <c r="O19" s="42"/>
    </row>
    <row r="20" spans="1:15">
      <c r="A20" s="177" t="s">
        <v>63</v>
      </c>
      <c r="B20" s="178">
        <v>0.03</v>
      </c>
      <c r="C20" s="176">
        <f>ROUND(($C$13+$C$17)/(1-$B$22)*B20,2)</f>
        <v>0</v>
      </c>
      <c r="D20" s="176">
        <f t="shared" ref="D20:D22" si="1">ROUND(C20*12,2)</f>
        <v>0</v>
      </c>
      <c r="E20" s="40"/>
      <c r="F20" s="40"/>
      <c r="G20" s="40"/>
      <c r="O20" s="42"/>
    </row>
    <row r="21" spans="1:15">
      <c r="A21" s="177" t="s">
        <v>64</v>
      </c>
      <c r="B21" s="178">
        <v>6.4999999999999997E-3</v>
      </c>
      <c r="C21" s="176">
        <f>ROUND(($C$13+$C$17)/(1-$B$22)*B21,2)</f>
        <v>0</v>
      </c>
      <c r="D21" s="176">
        <f t="shared" si="1"/>
        <v>0</v>
      </c>
      <c r="E21" s="40"/>
      <c r="F21" s="40"/>
      <c r="G21" s="40"/>
      <c r="O21" s="42"/>
    </row>
    <row r="22" spans="1:15" ht="15.75" thickBot="1">
      <c r="A22" s="179" t="s">
        <v>107</v>
      </c>
      <c r="B22" s="180">
        <f>B21+B20+B19</f>
        <v>8.6499999999999994E-2</v>
      </c>
      <c r="C22" s="181">
        <f>ROUND(SUM(C19:C21),2)</f>
        <v>0</v>
      </c>
      <c r="D22" s="181">
        <f t="shared" si="1"/>
        <v>0</v>
      </c>
      <c r="E22" s="40"/>
      <c r="F22" s="40"/>
      <c r="G22" s="40"/>
      <c r="O22" s="42"/>
    </row>
    <row r="23" spans="1:15" ht="15.75" thickBot="1">
      <c r="A23" s="55" t="s">
        <v>108</v>
      </c>
      <c r="B23" s="55"/>
      <c r="C23" s="56">
        <f>ROUND(C22+C17+C13,2)</f>
        <v>0</v>
      </c>
      <c r="D23" s="56">
        <f>ROUND(C23*12,2)</f>
        <v>0</v>
      </c>
      <c r="E23" s="40"/>
      <c r="F23" s="40"/>
      <c r="G23" s="40"/>
      <c r="O23" s="42"/>
    </row>
    <row r="24" spans="1:15" ht="31.5" customHeight="1" thickBot="1">
      <c r="A24" s="40"/>
      <c r="B24" s="40"/>
      <c r="C24" s="40"/>
      <c r="D24" s="40"/>
      <c r="E24" s="40"/>
      <c r="F24" s="40"/>
      <c r="G24" s="40"/>
      <c r="O24" s="42"/>
    </row>
    <row r="25" spans="1:15" ht="15.75" thickBot="1">
      <c r="A25" s="232" t="s">
        <v>109</v>
      </c>
      <c r="B25" s="232"/>
      <c r="C25" s="232"/>
      <c r="D25" s="232"/>
    </row>
    <row r="26" spans="1:15" ht="45.75" thickBot="1">
      <c r="A26" s="54"/>
      <c r="B26" s="54"/>
      <c r="C26" s="53" t="s">
        <v>89</v>
      </c>
      <c r="D26" s="54" t="s">
        <v>110</v>
      </c>
      <c r="E26" s="43"/>
      <c r="F26" s="44"/>
      <c r="G26" s="44"/>
      <c r="H26" s="44"/>
      <c r="I26" s="44"/>
      <c r="J26" s="44"/>
      <c r="K26" s="44"/>
      <c r="L26" s="44"/>
      <c r="M26" s="44"/>
      <c r="N26" s="44"/>
    </row>
    <row r="27" spans="1:15" ht="15.75" thickBot="1">
      <c r="A27" s="233" t="s">
        <v>111</v>
      </c>
      <c r="B27" s="233"/>
      <c r="C27" s="57">
        <f>G7</f>
        <v>0</v>
      </c>
      <c r="D27" s="57">
        <f>H7</f>
        <v>0</v>
      </c>
    </row>
    <row r="28" spans="1:15" ht="15.75" thickBot="1">
      <c r="A28" s="55" t="s">
        <v>85</v>
      </c>
      <c r="B28" s="58"/>
      <c r="C28" s="59">
        <f>ROUND(SUM(C27:C27),2)</f>
        <v>0</v>
      </c>
      <c r="D28" s="59">
        <f>ROUND(SUM(D27:D27),2)</f>
        <v>0</v>
      </c>
    </row>
  </sheetData>
  <sheetProtection selectLockedCells="1" selectUnlockedCells="1"/>
  <mergeCells count="7">
    <mergeCell ref="A2:H2"/>
    <mergeCell ref="A1:H1"/>
    <mergeCell ref="A9:D9"/>
    <mergeCell ref="A25:D25"/>
    <mergeCell ref="A27:B27"/>
    <mergeCell ref="A14:D14"/>
    <mergeCell ref="A18:D18"/>
  </mergeCells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'Dados - Não mexer'!$C$2:$C$3</xm:f>
          </x14:formula1>
          <xm:sqref>B4:B6</xm:sqref>
        </x14:dataValidation>
        <x14:dataValidation type="list" showInputMessage="1" showErrorMessage="1" xr:uid="{00000000-0002-0000-0A00-000001000000}">
          <x14:formula1>
            <xm:f>'Dados - Não mexer'!$B$2:$B$4</xm:f>
          </x14:formula1>
          <xm:sqref>C4:C6</xm:sqref>
        </x14:dataValidation>
        <x14:dataValidation type="list" allowBlank="1" showInputMessage="1" showErrorMessage="1" xr:uid="{00000000-0002-0000-0A00-000002000000}">
          <x14:formula1>
            <xm:f>'Dados - Não mexer'!$A$2:$A$13</xm:f>
          </x14:formula1>
          <xm:sqref>A4:A6</xm:sqref>
        </x14:dataValidation>
        <x14:dataValidation type="list" allowBlank="1" showInputMessage="1" showErrorMessage="1" xr:uid="{00000000-0002-0000-0A00-000003000000}">
          <x14:formula1>
            <xm:f>'Dados - Não mexer'!$A$2:$A$11</xm:f>
          </x14:formula1>
          <xm:sqref>A11:A12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>
    <tabColor rgb="FFFF0000"/>
  </sheetPr>
  <dimension ref="A1:D13"/>
  <sheetViews>
    <sheetView workbookViewId="0">
      <selection activeCell="D7" sqref="D7"/>
    </sheetView>
  </sheetViews>
  <sheetFormatPr defaultRowHeight="15"/>
  <cols>
    <col min="1" max="1" width="30.42578125" style="1" bestFit="1" customWidth="1"/>
    <col min="2" max="16384" width="9.140625" style="1"/>
  </cols>
  <sheetData>
    <row r="1" spans="1:4">
      <c r="A1" s="2" t="s">
        <v>93</v>
      </c>
      <c r="B1" s="2" t="s">
        <v>2</v>
      </c>
      <c r="C1" s="2" t="s">
        <v>3</v>
      </c>
      <c r="D1" s="2" t="s">
        <v>112</v>
      </c>
    </row>
    <row r="2" spans="1:4">
      <c r="A2" s="189" t="s">
        <v>125</v>
      </c>
      <c r="B2" s="189" t="s">
        <v>126</v>
      </c>
      <c r="C2" s="1" t="s">
        <v>4</v>
      </c>
      <c r="D2" s="3">
        <v>0</v>
      </c>
    </row>
    <row r="3" spans="1:4">
      <c r="A3" s="1" t="s">
        <v>73</v>
      </c>
      <c r="B3" s="189" t="s">
        <v>126</v>
      </c>
      <c r="C3" s="1" t="s">
        <v>113</v>
      </c>
      <c r="D3" s="3">
        <v>0.1</v>
      </c>
    </row>
    <row r="4" spans="1:4">
      <c r="A4" s="182" t="s">
        <v>1</v>
      </c>
      <c r="B4" s="189" t="s">
        <v>126</v>
      </c>
      <c r="D4" s="3">
        <v>0.2</v>
      </c>
    </row>
    <row r="5" spans="1:4">
      <c r="A5" s="182" t="s">
        <v>114</v>
      </c>
      <c r="D5" s="3">
        <v>0.4</v>
      </c>
    </row>
    <row r="6" spans="1:4">
      <c r="A6" s="1" t="s">
        <v>115</v>
      </c>
    </row>
    <row r="7" spans="1:4">
      <c r="A7" s="1" t="s">
        <v>116</v>
      </c>
    </row>
    <row r="8" spans="1:4">
      <c r="A8" s="182" t="s">
        <v>117</v>
      </c>
    </row>
    <row r="9" spans="1:4">
      <c r="A9" s="1" t="s">
        <v>118</v>
      </c>
    </row>
    <row r="10" spans="1:4">
      <c r="A10" s="1" t="s">
        <v>119</v>
      </c>
    </row>
    <row r="11" spans="1:4">
      <c r="A11" s="1" t="s">
        <v>120</v>
      </c>
    </row>
    <row r="12" spans="1:4">
      <c r="A12" s="182" t="s">
        <v>121</v>
      </c>
    </row>
    <row r="13" spans="1:4">
      <c r="A13" s="182" t="s">
        <v>122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promptTitle="Funcionário" prompt="Escolha" sqref="F2" xr:uid="{00000000-0002-0000-0B00-000000000000}">
      <formula1>$B$2:$B$7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247585C67B75439E605BEE40F20CE8" ma:contentTypeVersion="11" ma:contentTypeDescription="Crie um novo documento." ma:contentTypeScope="" ma:versionID="2e0d1718522ea5ba1f373b6b0134736d">
  <xsd:schema xmlns:xsd="http://www.w3.org/2001/XMLSchema" xmlns:xs="http://www.w3.org/2001/XMLSchema" xmlns:p="http://schemas.microsoft.com/office/2006/metadata/properties" xmlns:ns2="ebee703e-a693-4876-ade7-741951b85f69" xmlns:ns3="e5b12fa6-4662-4cc0-9c1f-1022c99e035a" targetNamespace="http://schemas.microsoft.com/office/2006/metadata/properties" ma:root="true" ma:fieldsID="62250863c93ad0bcf266b8268d7ae0cd" ns2:_="" ns3:_="">
    <xsd:import namespace="ebee703e-a693-4876-ade7-741951b85f69"/>
    <xsd:import namespace="e5b12fa6-4662-4cc0-9c1f-1022c99e03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e703e-a693-4876-ade7-741951b85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12fa6-4662-4cc0-9c1f-1022c99e0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BA3B63-56BF-4F01-8AA3-D59F215E85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7B2D2E-2C95-4F0C-84E4-CAA5EC786C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964A7-62A4-49C7-AC7D-E699A76B6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e703e-a693-4876-ade7-741951b85f69"/>
    <ds:schemaRef ds:uri="e5b12fa6-4662-4cc0-9c1f-1022c99e0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Recepção</vt:lpstr>
      <vt:lpstr>Limpeza</vt:lpstr>
      <vt:lpstr>motorista</vt:lpstr>
      <vt:lpstr>Uniformes</vt:lpstr>
      <vt:lpstr>Resumo de Custos</vt:lpstr>
      <vt:lpstr>Dados - Não mexer</vt:lpstr>
      <vt:lpstr>Lista1</vt:lpstr>
      <vt:lpstr>Serviços</vt:lpstr>
    </vt:vector>
  </TitlesOfParts>
  <Manager/>
  <Company>TCU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Encargos Sociais e Trabalhistas</dc:title>
  <dc:subject/>
  <dc:creator>DIPAC</dc:creator>
  <cp:keywords/>
  <dc:description/>
  <cp:lastModifiedBy>Breno Barbosa Borges</cp:lastModifiedBy>
  <cp:revision/>
  <dcterms:created xsi:type="dcterms:W3CDTF">1999-03-22T20:47:50Z</dcterms:created>
  <dcterms:modified xsi:type="dcterms:W3CDTF">2022-05-09T13:16:08Z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0x0101008D247585C67B75439E605BEE40F20CE8</vt:lpwstr>
  </property>
</Properties>
</file>